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" ContentType="application/vnd.visi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nhao.jin\Desktop\BPsemi\Design tool\"/>
    </mc:Choice>
  </mc:AlternateContent>
  <xr:revisionPtr revIDLastSave="0" documentId="13_ncr:1_{269A8A03-D10F-4245-958C-C42C4B1B5CFB}" xr6:coauthVersionLast="45" xr6:coauthVersionMax="45" xr10:uidLastSave="{00000000-0000-0000-0000-000000000000}"/>
  <bookViews>
    <workbookView xWindow="1200" yWindow="0" windowWidth="21840" windowHeight="12360" xr2:uid="{00000000-000D-0000-FFFF-FFFF00000000}"/>
  </bookViews>
  <sheets>
    <sheet name="BP3338A" sheetId="1" r:id="rId1"/>
    <sheet name="SCH&amp;BOM" sheetId="4" r:id="rId2"/>
    <sheet name="Calculations" sheetId="2" r:id="rId3"/>
    <sheet name="Waveform" sheetId="3" r:id="rId4"/>
  </sheets>
  <definedNames>
    <definedName name="Ae">BP3338A!$P$7</definedName>
    <definedName name="Bmax">Calculations!$C$25</definedName>
    <definedName name="capcin">BP3338A!$I$9</definedName>
    <definedName name="cos_max">Calculations!$I$11</definedName>
    <definedName name="cos_mid">Calculations!$H$11</definedName>
    <definedName name="cos_min">Calculations!$G$11</definedName>
    <definedName name="Cvcc">BP3338A!$V$17</definedName>
    <definedName name="dd">BP3338A!$I$14</definedName>
    <definedName name="ddd">BP3338A!$I$14</definedName>
    <definedName name="Efficiency">BP3338A!$C$13</definedName>
    <definedName name="F1kvmax">Calculations!$I$3</definedName>
    <definedName name="F1kvmid">Calculations!$H$3</definedName>
    <definedName name="F1kvmin">Calculations!$G$3</definedName>
    <definedName name="F2kvmax">Calculations!$I$4</definedName>
    <definedName name="F2kvmid">Calculations!$H$4</definedName>
    <definedName name="F2kvmin">Calculations!$G$4</definedName>
    <definedName name="F3kvmax">Calculations!$I$5</definedName>
    <definedName name="F3kvmid">Calculations!$H$5</definedName>
    <definedName name="F3kvmin">Calculations!$G$5</definedName>
    <definedName name="F4kvmax">Calculations!$I$6</definedName>
    <definedName name="F4kvmin">Calculations!$G$6</definedName>
    <definedName name="F5kvmax">Calculations!$I$7</definedName>
    <definedName name="F5kvmid">Calculations!$H$7</definedName>
    <definedName name="F5kvmin">Calculations!$G$7</definedName>
    <definedName name="Fac_min">BP3338A!$C$5</definedName>
    <definedName name="Fac_nom">BP3338A!$C$4</definedName>
    <definedName name="FB_Openloop">Calculations!$C$21</definedName>
    <definedName name="FB_OVP">Calculations!$C$20</definedName>
    <definedName name="FB_ZCD">Calculations!$C$22</definedName>
    <definedName name="Fsw_min">BP3338A!$C$14</definedName>
    <definedName name="Ifb">Calculations!$G$17</definedName>
    <definedName name="Iout">BP3338A!$C$7</definedName>
    <definedName name="Ip_pk">BP3338A!$I$14</definedName>
    <definedName name="Ip_pk_max">BP3338A!$K$14</definedName>
    <definedName name="Ip_pk_max_low">BP3338A!$I$14</definedName>
    <definedName name="Ip_pk_min">BP3338A!$I$14</definedName>
    <definedName name="Ip_rms_low">BP3338A!$I$15</definedName>
    <definedName name="Is_rms_low">BP3338A!$I$17</definedName>
    <definedName name="Ivcc_charge">Calculations!$C$35</definedName>
    <definedName name="Ivcc_discharge">Calculations!$C$34</definedName>
    <definedName name="K1a">Calculations!$C$26</definedName>
    <definedName name="Kdiode">BP3338A!$C$22</definedName>
    <definedName name="Kmos">BP3338A!$C$20</definedName>
    <definedName name="Kv_acmax">Calculations!$C$10</definedName>
    <definedName name="Kv_acmid">Calculations!$C$9</definedName>
    <definedName name="Kv_acmin">Calculations!$C$8</definedName>
    <definedName name="Lp">Calculations!$C$15</definedName>
    <definedName name="Naux">BP3338A!$P$15</definedName>
    <definedName name="Np">BP3338A!$P$9</definedName>
    <definedName name="Nps">Calculations!$C$6</definedName>
    <definedName name="Nps_real">BP3338A!$P$12</definedName>
    <definedName name="Ns">BP3338A!$P$11</definedName>
    <definedName name="Nsp_real">BP3338A!$P$12</definedName>
    <definedName name="Pin_max">Calculations!$C$13</definedName>
    <definedName name="Po_max">Calculations!$C$12</definedName>
    <definedName name="PQ_bobin" localSheetId="2">Calculations!$G$79:$G$87</definedName>
    <definedName name="PQ_bobinl" localSheetId="2">Calculations!$O$79:$O$87</definedName>
    <definedName name="_xlnm.Print_Area" localSheetId="1">'SCH&amp;BOM'!$A$1:$AF$21</definedName>
    <definedName name="Rdown">BP3338A!$V$10</definedName>
    <definedName name="Rup">BP3338A!$V$8</definedName>
    <definedName name="Rvcc">BP3338A!$V$18</definedName>
    <definedName name="Tdelay_est">BP3338A!$V$15</definedName>
    <definedName name="Vac_max">BP3338A!$C$3</definedName>
    <definedName name="Vac_max_pk">Calculations!$C$4</definedName>
    <definedName name="Vac_mid">Calculations!$C$1</definedName>
    <definedName name="Vac_mid_pk">Calculations!$C$3</definedName>
    <definedName name="Vac_min">BP3338A!$C$2</definedName>
    <definedName name="Vac_min_pk">Calculations!$C$2</definedName>
    <definedName name="Vcc_max">Calculations!$C$31</definedName>
    <definedName name="Vcc_off">Calculations!$C$33</definedName>
    <definedName name="Vcc_on">Calculations!$C$32</definedName>
    <definedName name="VDSS_BR">BP3338A!$C$19</definedName>
    <definedName name="VF">BP3338A!$C$16</definedName>
    <definedName name="VFB_OVP">Calculations!$C$20</definedName>
    <definedName name="Vo_max">BP3338A!$C$9</definedName>
    <definedName name="Vo_min">BP3338A!$C$8</definedName>
    <definedName name="Vo_ovp">BP3338A!$C$10</definedName>
    <definedName name="Vo_pkpk">BP3338A!$C$11</definedName>
    <definedName name="Vpkpk">BP3338A!$C$11</definedName>
    <definedName name="VR">Calculations!$C$7</definedName>
    <definedName name="VREF">Calculations!$C$19</definedName>
    <definedName name="Vring">BP3338A!$C$17</definedName>
    <definedName name="VRRM">BP3338A!$C$21</definedName>
    <definedName name="Vspike">BP3338A!$C$15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6" i="2"/>
  <c r="C7" i="2"/>
  <c r="C8" i="2"/>
  <c r="G4" i="2"/>
  <c r="I16" i="1"/>
  <c r="V11" i="1"/>
  <c r="P14" i="1"/>
  <c r="V26" i="1"/>
  <c r="V27" i="1"/>
  <c r="E10" i="1"/>
  <c r="Q64" i="2"/>
  <c r="Q65" i="2"/>
  <c r="Q66" i="2"/>
  <c r="Q63" i="2"/>
  <c r="Q58" i="2"/>
  <c r="Q59" i="2"/>
  <c r="Q60" i="2"/>
  <c r="Q61" i="2"/>
  <c r="Q62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O6" i="1"/>
  <c r="P7" i="1"/>
  <c r="U2" i="4"/>
  <c r="S13" i="4"/>
  <c r="K12" i="4"/>
  <c r="K17" i="4"/>
  <c r="V16" i="1"/>
  <c r="S7" i="4"/>
  <c r="AC9" i="4"/>
  <c r="AC7" i="4"/>
  <c r="AD6" i="4"/>
  <c r="AD5" i="4"/>
  <c r="AD4" i="4"/>
  <c r="X15" i="1"/>
  <c r="U4" i="4"/>
  <c r="F9" i="4"/>
  <c r="I13" i="4"/>
  <c r="I16" i="4"/>
  <c r="F13" i="4"/>
  <c r="Q17" i="4"/>
  <c r="R5" i="4"/>
  <c r="U5" i="4"/>
  <c r="O5" i="1"/>
  <c r="P6" i="1"/>
  <c r="V7" i="1"/>
  <c r="P5" i="1"/>
  <c r="J11" i="1"/>
  <c r="C3" i="2"/>
  <c r="K9" i="1"/>
  <c r="C15" i="2"/>
  <c r="C25" i="2"/>
  <c r="C12" i="2"/>
  <c r="C13" i="2"/>
  <c r="V13" i="1"/>
  <c r="V12" i="1"/>
  <c r="V9" i="1"/>
  <c r="P12" i="1"/>
  <c r="V3" i="1"/>
  <c r="P23" i="1"/>
  <c r="P4" i="1"/>
  <c r="C26" i="2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" i="3"/>
  <c r="K11" i="1"/>
  <c r="I11" i="1"/>
  <c r="P10" i="1"/>
  <c r="C4" i="2"/>
  <c r="V19" i="1"/>
  <c r="P24" i="1"/>
  <c r="R24" i="1"/>
  <c r="J13" i="1"/>
  <c r="I13" i="1"/>
  <c r="G10" i="2"/>
  <c r="G11" i="2"/>
  <c r="H10" i="2"/>
  <c r="H11" i="2"/>
  <c r="I10" i="2"/>
  <c r="I11" i="2"/>
  <c r="I12" i="1"/>
  <c r="K12" i="1"/>
  <c r="I3" i="1"/>
  <c r="I2" i="1"/>
  <c r="K13" i="1"/>
  <c r="J12" i="1"/>
  <c r="AC8" i="4"/>
  <c r="J4" i="1"/>
  <c r="C9" i="2"/>
  <c r="C10" i="2"/>
  <c r="K22" i="1"/>
  <c r="I4" i="2"/>
  <c r="K14" i="1"/>
  <c r="I3" i="2"/>
  <c r="I5" i="2"/>
  <c r="I7" i="2"/>
  <c r="K16" i="1"/>
  <c r="H5" i="2"/>
  <c r="J22" i="1"/>
  <c r="H4" i="2"/>
  <c r="J14" i="1"/>
  <c r="H7" i="2"/>
  <c r="H3" i="2"/>
  <c r="G5" i="2"/>
  <c r="D68" i="3"/>
  <c r="D96" i="3"/>
  <c r="D316" i="3"/>
  <c r="D112" i="3"/>
  <c r="D44" i="3"/>
  <c r="D128" i="3"/>
  <c r="D24" i="3"/>
  <c r="D28" i="3"/>
  <c r="D108" i="3"/>
  <c r="D176" i="3"/>
  <c r="D256" i="3"/>
  <c r="D196" i="3"/>
  <c r="D168" i="3"/>
  <c r="D72" i="3"/>
  <c r="D244" i="3"/>
  <c r="D304" i="3"/>
  <c r="D92" i="3"/>
  <c r="D208" i="3"/>
  <c r="D12" i="3"/>
  <c r="D223" i="3"/>
  <c r="D16" i="3"/>
  <c r="D121" i="3"/>
  <c r="D349" i="3"/>
  <c r="D52" i="3"/>
  <c r="I22" i="1"/>
  <c r="D29" i="3"/>
  <c r="D182" i="3"/>
  <c r="D55" i="3"/>
  <c r="D362" i="3"/>
  <c r="D113" i="3"/>
  <c r="D134" i="3"/>
  <c r="D151" i="3"/>
  <c r="D149" i="3"/>
  <c r="D361" i="3"/>
  <c r="D234" i="3"/>
  <c r="D262" i="3"/>
  <c r="D129" i="3"/>
  <c r="D76" i="3"/>
  <c r="D84" i="3"/>
  <c r="D162" i="3"/>
  <c r="D252" i="3"/>
  <c r="D119" i="3"/>
  <c r="D346" i="3"/>
  <c r="D220" i="3"/>
  <c r="D348" i="3"/>
  <c r="D352" i="3"/>
  <c r="D231" i="3"/>
  <c r="D13" i="3"/>
  <c r="D69" i="3"/>
  <c r="D296" i="3"/>
  <c r="D280" i="3"/>
  <c r="D219" i="3"/>
  <c r="D260" i="3"/>
  <c r="D40" i="3"/>
  <c r="D290" i="3"/>
  <c r="D183" i="3"/>
  <c r="D137" i="3"/>
  <c r="D110" i="3"/>
  <c r="D338" i="3"/>
  <c r="D344" i="3"/>
  <c r="D114" i="3"/>
  <c r="D87" i="3"/>
  <c r="D299" i="3"/>
  <c r="D81" i="3"/>
  <c r="D320" i="3"/>
  <c r="D235" i="3"/>
  <c r="D9" i="3"/>
  <c r="D156" i="3"/>
  <c r="D139" i="3"/>
  <c r="D210" i="3"/>
  <c r="D334" i="3"/>
  <c r="D124" i="3"/>
  <c r="D305" i="3"/>
  <c r="D199" i="3"/>
  <c r="D342" i="3"/>
  <c r="D186" i="3"/>
  <c r="D237" i="3"/>
  <c r="D356" i="3"/>
  <c r="D240" i="3"/>
  <c r="D106" i="3"/>
  <c r="D155" i="3"/>
  <c r="D146" i="3"/>
  <c r="D238" i="3"/>
  <c r="D133" i="3"/>
  <c r="D141" i="3"/>
  <c r="D163" i="3"/>
  <c r="D245" i="3"/>
  <c r="D309" i="3"/>
  <c r="D190" i="3"/>
  <c r="D307" i="3"/>
  <c r="D102" i="3"/>
  <c r="D116" i="3"/>
  <c r="D243" i="3"/>
  <c r="D51" i="3"/>
  <c r="D148" i="3"/>
  <c r="D59" i="3"/>
  <c r="D267" i="3"/>
  <c r="D250" i="3"/>
  <c r="D188" i="3"/>
  <c r="D17" i="3"/>
  <c r="D38" i="3"/>
  <c r="D7" i="3"/>
  <c r="D317" i="3"/>
  <c r="D347" i="3"/>
  <c r="D83" i="3"/>
  <c r="D166" i="3"/>
  <c r="D78" i="3"/>
  <c r="D19" i="3"/>
  <c r="D232" i="3"/>
  <c r="D47" i="3"/>
  <c r="D286" i="3"/>
  <c r="D225" i="3"/>
  <c r="D359" i="3"/>
  <c r="D204" i="3"/>
  <c r="D207" i="3"/>
  <c r="D32" i="3"/>
  <c r="D109" i="3"/>
  <c r="D328" i="3"/>
  <c r="D191" i="3"/>
  <c r="D136" i="3"/>
  <c r="D56" i="3"/>
  <c r="D214" i="3"/>
  <c r="D203" i="3"/>
  <c r="D98" i="3"/>
  <c r="D73" i="3"/>
  <c r="D274" i="3"/>
  <c r="D169" i="3"/>
  <c r="D27" i="3"/>
  <c r="D82" i="3"/>
  <c r="D185" i="3"/>
  <c r="D360" i="3"/>
  <c r="D330" i="3"/>
  <c r="D95" i="3"/>
  <c r="D333" i="3"/>
  <c r="D322" i="3"/>
  <c r="D43" i="3"/>
  <c r="D269" i="3"/>
  <c r="D258" i="3"/>
  <c r="D48" i="3"/>
  <c r="D211" i="3"/>
  <c r="D312" i="3"/>
  <c r="D132" i="3"/>
  <c r="D248" i="3"/>
  <c r="D70" i="3"/>
  <c r="D67" i="3"/>
  <c r="D247" i="3"/>
  <c r="D8" i="3"/>
  <c r="D216" i="3"/>
  <c r="D34" i="3"/>
  <c r="D111" i="3"/>
  <c r="D229" i="3"/>
  <c r="D131" i="3"/>
  <c r="D193" i="3"/>
  <c r="D62" i="3"/>
  <c r="D287" i="3"/>
  <c r="D300" i="3"/>
  <c r="D15" i="3"/>
  <c r="D79" i="3"/>
  <c r="D31" i="3"/>
  <c r="D177" i="3"/>
  <c r="D58" i="3"/>
  <c r="D23" i="3"/>
  <c r="D350" i="3"/>
  <c r="D88" i="3"/>
  <c r="D276" i="3"/>
  <c r="D264" i="3"/>
  <c r="D179" i="3"/>
  <c r="D339" i="3"/>
  <c r="D105" i="3"/>
  <c r="D18" i="3"/>
  <c r="D63" i="3"/>
  <c r="D180" i="3"/>
  <c r="D249" i="3"/>
  <c r="D341" i="3"/>
  <c r="D325" i="3"/>
  <c r="D66" i="3"/>
  <c r="D115" i="3"/>
  <c r="D77" i="3"/>
  <c r="D263" i="3"/>
  <c r="D4" i="3"/>
  <c r="D42" i="3"/>
  <c r="D41" i="3"/>
  <c r="D201" i="3"/>
  <c r="D117" i="3"/>
  <c r="D345" i="3"/>
  <c r="D224" i="3"/>
  <c r="D45" i="3"/>
  <c r="D147" i="3"/>
  <c r="D265" i="3"/>
  <c r="D187" i="3"/>
  <c r="D289" i="3"/>
  <c r="D172" i="3"/>
  <c r="D36" i="3"/>
  <c r="D297" i="3"/>
  <c r="D283" i="3"/>
  <c r="D60" i="3"/>
  <c r="D217" i="3"/>
  <c r="D22" i="3"/>
  <c r="D65" i="3"/>
  <c r="D161" i="3"/>
  <c r="D174" i="3"/>
  <c r="D53" i="3"/>
  <c r="D165" i="3"/>
  <c r="D46" i="3"/>
  <c r="D279" i="3"/>
  <c r="D50" i="3"/>
  <c r="D357" i="3"/>
  <c r="D285" i="3"/>
  <c r="D140" i="3"/>
  <c r="D241" i="3"/>
  <c r="G7" i="2"/>
  <c r="D74" i="3"/>
  <c r="D154" i="3"/>
  <c r="D125" i="3"/>
  <c r="D150" i="3"/>
  <c r="D75" i="3"/>
  <c r="D221" i="3"/>
  <c r="D49" i="3"/>
  <c r="D143" i="3"/>
  <c r="D340" i="3"/>
  <c r="D273" i="3"/>
  <c r="D343" i="3"/>
  <c r="D80" i="3"/>
  <c r="D254" i="3"/>
  <c r="D255" i="3"/>
  <c r="D327" i="3"/>
  <c r="D308" i="3"/>
  <c r="D284" i="3"/>
  <c r="D152" i="3"/>
  <c r="D126" i="3"/>
  <c r="D212" i="3"/>
  <c r="D99" i="3"/>
  <c r="D160" i="3"/>
  <c r="D37" i="3"/>
  <c r="D39" i="3"/>
  <c r="D184" i="3"/>
  <c r="D324" i="3"/>
  <c r="D171" i="3"/>
  <c r="D251" i="3"/>
  <c r="D5" i="3"/>
  <c r="D54" i="3"/>
  <c r="D336" i="3"/>
  <c r="D202" i="3"/>
  <c r="D123" i="3"/>
  <c r="D192" i="3"/>
  <c r="D272" i="3"/>
  <c r="D335" i="3"/>
  <c r="D71" i="3"/>
  <c r="D268" i="3"/>
  <c r="D205" i="3"/>
  <c r="D85" i="3"/>
  <c r="D61" i="3"/>
  <c r="D319" i="3"/>
  <c r="D189" i="3"/>
  <c r="D331" i="3"/>
  <c r="D288" i="3"/>
  <c r="D91" i="3"/>
  <c r="D261" i="3"/>
  <c r="D89" i="3"/>
  <c r="D120" i="3"/>
  <c r="D195" i="3"/>
  <c r="D200" i="3"/>
  <c r="D222" i="3"/>
  <c r="D20" i="3"/>
  <c r="D64" i="3"/>
  <c r="D337" i="3"/>
  <c r="D321" i="3"/>
  <c r="D332" i="3"/>
  <c r="D246" i="3"/>
  <c r="D270" i="3"/>
  <c r="D170" i="3"/>
  <c r="D6" i="3"/>
  <c r="D294" i="3"/>
  <c r="D228" i="3"/>
  <c r="D275" i="3"/>
  <c r="D236" i="3"/>
  <c r="D10" i="3"/>
  <c r="D173" i="3"/>
  <c r="D292" i="3"/>
  <c r="D226" i="3"/>
  <c r="D30" i="3"/>
  <c r="D233" i="3"/>
  <c r="D329" i="3"/>
  <c r="D135" i="3"/>
  <c r="D144" i="3"/>
  <c r="D306" i="3"/>
  <c r="D206" i="3"/>
  <c r="D11" i="3"/>
  <c r="D159" i="3"/>
  <c r="D104" i="3"/>
  <c r="D259" i="3"/>
  <c r="D21" i="3"/>
  <c r="D257" i="3"/>
  <c r="G3" i="2"/>
  <c r="D86" i="3"/>
  <c r="D353" i="3"/>
  <c r="D164" i="3"/>
  <c r="D215" i="3"/>
  <c r="D138" i="3"/>
  <c r="D100" i="3"/>
  <c r="D157" i="3"/>
  <c r="D282" i="3"/>
  <c r="D14" i="3"/>
  <c r="D355" i="3"/>
  <c r="D311" i="3"/>
  <c r="D271" i="3"/>
  <c r="D167" i="3"/>
  <c r="D35" i="3"/>
  <c r="D358" i="3"/>
  <c r="D314" i="3"/>
  <c r="D278" i="3"/>
  <c r="D218" i="3"/>
  <c r="D158" i="3"/>
  <c r="D118" i="3"/>
  <c r="D313" i="3"/>
  <c r="D277" i="3"/>
  <c r="D197" i="3"/>
  <c r="D101" i="3"/>
  <c r="D33" i="3"/>
  <c r="D239" i="3"/>
  <c r="D354" i="3"/>
  <c r="D310" i="3"/>
  <c r="D266" i="3"/>
  <c r="D198" i="3"/>
  <c r="D142" i="3"/>
  <c r="D94" i="3"/>
  <c r="D301" i="3"/>
  <c r="D181" i="3"/>
  <c r="D97" i="3"/>
  <c r="D326" i="3"/>
  <c r="D242" i="3"/>
  <c r="D90" i="3"/>
  <c r="D213" i="3"/>
  <c r="D3" i="3"/>
  <c r="D175" i="3"/>
  <c r="D318" i="3"/>
  <c r="D298" i="3"/>
  <c r="D230" i="3"/>
  <c r="D122" i="3"/>
  <c r="D281" i="3"/>
  <c r="D145" i="3"/>
  <c r="D351" i="3"/>
  <c r="D303" i="3"/>
  <c r="D127" i="3"/>
  <c r="D253" i="3"/>
  <c r="D25" i="3"/>
  <c r="D302" i="3"/>
  <c r="D194" i="3"/>
  <c r="D130" i="3"/>
  <c r="D293" i="3"/>
  <c r="D153" i="3"/>
  <c r="D315" i="3"/>
  <c r="D291" i="3"/>
  <c r="D103" i="3"/>
  <c r="D26" i="3"/>
  <c r="D57" i="3"/>
  <c r="D323" i="3"/>
  <c r="D295" i="3"/>
  <c r="D227" i="3"/>
  <c r="D107" i="3"/>
  <c r="D93" i="3"/>
  <c r="D178" i="3"/>
  <c r="D209" i="3"/>
  <c r="I7" i="1"/>
  <c r="I17" i="1"/>
  <c r="I18" i="1"/>
  <c r="J16" i="1"/>
  <c r="J17" i="1"/>
  <c r="J18" i="1"/>
  <c r="I5" i="1"/>
  <c r="I14" i="1"/>
  <c r="P8" i="1"/>
  <c r="K17" i="1"/>
  <c r="K18" i="1"/>
  <c r="G362" i="3"/>
  <c r="G170" i="3"/>
  <c r="K19" i="1"/>
  <c r="G346" i="3"/>
  <c r="G107" i="3"/>
  <c r="G171" i="3"/>
  <c r="G87" i="3"/>
  <c r="G356" i="3"/>
  <c r="G173" i="3"/>
  <c r="G69" i="3"/>
  <c r="G315" i="3"/>
  <c r="G212" i="3"/>
  <c r="G250" i="3"/>
  <c r="G54" i="3"/>
  <c r="G306" i="3"/>
  <c r="G361" i="3"/>
  <c r="G301" i="3"/>
  <c r="G160" i="3"/>
  <c r="G291" i="3"/>
  <c r="G128" i="3"/>
  <c r="G50" i="3"/>
  <c r="G199" i="3"/>
  <c r="G169" i="3"/>
  <c r="G261" i="3"/>
  <c r="G231" i="3"/>
  <c r="G209" i="3"/>
  <c r="G34" i="3"/>
  <c r="G229" i="3"/>
  <c r="G168" i="3"/>
  <c r="G242" i="3"/>
  <c r="G228" i="3"/>
  <c r="G289" i="3"/>
  <c r="G328" i="3"/>
  <c r="G211" i="3"/>
  <c r="G113" i="3"/>
  <c r="G74" i="3"/>
  <c r="G312" i="3"/>
  <c r="G42" i="3"/>
  <c r="G353" i="3"/>
  <c r="G215" i="3"/>
  <c r="G172" i="3"/>
  <c r="G88" i="3"/>
  <c r="K15" i="1"/>
  <c r="G278" i="3"/>
  <c r="G324" i="3"/>
  <c r="G339" i="3"/>
  <c r="G68" i="3"/>
  <c r="G337" i="3"/>
  <c r="G103" i="3"/>
  <c r="G309" i="3"/>
  <c r="G8" i="3"/>
  <c r="G100" i="3"/>
  <c r="G252" i="3"/>
  <c r="G142" i="3"/>
  <c r="G10" i="3"/>
  <c r="G32" i="3"/>
  <c r="G60" i="3"/>
  <c r="G59" i="3"/>
  <c r="G36" i="3"/>
  <c r="G318" i="3"/>
  <c r="G334" i="3"/>
  <c r="G294" i="3"/>
  <c r="G19" i="3"/>
  <c r="G13" i="3"/>
  <c r="G153" i="3"/>
  <c r="G354" i="3"/>
  <c r="G94" i="3"/>
  <c r="G283" i="3"/>
  <c r="G44" i="3"/>
  <c r="G348" i="3"/>
  <c r="G106" i="3"/>
  <c r="G317" i="3"/>
  <c r="G226" i="3"/>
  <c r="G79" i="3"/>
  <c r="G6" i="3"/>
  <c r="G295" i="3"/>
  <c r="G139" i="3"/>
  <c r="G275" i="3"/>
  <c r="G216" i="3"/>
  <c r="G104" i="3"/>
  <c r="G270" i="3"/>
  <c r="G45" i="3"/>
  <c r="G15" i="3"/>
  <c r="G213" i="3"/>
  <c r="G156" i="3"/>
  <c r="G303" i="3"/>
  <c r="G187" i="3"/>
  <c r="G177" i="3"/>
  <c r="G256" i="3"/>
  <c r="G246" i="3"/>
  <c r="G247" i="3"/>
  <c r="G277" i="3"/>
  <c r="G146" i="3"/>
  <c r="G125" i="3"/>
  <c r="G326" i="3"/>
  <c r="G75" i="3"/>
  <c r="G345" i="3"/>
  <c r="G164" i="3"/>
  <c r="G85" i="3"/>
  <c r="G182" i="3"/>
  <c r="G262" i="3"/>
  <c r="G284" i="3"/>
  <c r="G51" i="3"/>
  <c r="G320" i="3"/>
  <c r="G161" i="3"/>
  <c r="G196" i="3"/>
  <c r="G28" i="3"/>
  <c r="G31" i="3"/>
  <c r="G122" i="3"/>
  <c r="G49" i="3"/>
  <c r="G119" i="3"/>
  <c r="G322" i="3"/>
  <c r="G62" i="3"/>
  <c r="G257" i="3"/>
  <c r="G136" i="3"/>
  <c r="G145" i="3"/>
  <c r="G292" i="3"/>
  <c r="G285" i="3"/>
  <c r="G124" i="3"/>
  <c r="G114" i="3"/>
  <c r="G185" i="3"/>
  <c r="G358" i="3"/>
  <c r="G58" i="3"/>
  <c r="G83" i="3"/>
  <c r="G288" i="3"/>
  <c r="G290" i="3"/>
  <c r="G71" i="3"/>
  <c r="G67" i="3"/>
  <c r="G191" i="3"/>
  <c r="G349" i="3"/>
  <c r="G244" i="3"/>
  <c r="G127" i="3"/>
  <c r="G194" i="3"/>
  <c r="G132" i="3"/>
  <c r="G110" i="3"/>
  <c r="G96" i="3"/>
  <c r="G157" i="3"/>
  <c r="G37" i="3"/>
  <c r="G299" i="3"/>
  <c r="G201" i="3"/>
  <c r="G120" i="3"/>
  <c r="G184" i="3"/>
  <c r="G138" i="3"/>
  <c r="G102" i="3"/>
  <c r="G341" i="3"/>
  <c r="G268" i="3"/>
  <c r="G233" i="3"/>
  <c r="G245" i="3"/>
  <c r="G298" i="3"/>
  <c r="G304" i="3"/>
  <c r="G311" i="3"/>
  <c r="G158" i="3"/>
  <c r="G219" i="3"/>
  <c r="G190" i="3"/>
  <c r="G352" i="3"/>
  <c r="G135" i="3"/>
  <c r="G235" i="3"/>
  <c r="G73" i="3"/>
  <c r="G197" i="3"/>
  <c r="G223" i="3"/>
  <c r="G14" i="3"/>
  <c r="G232" i="3"/>
  <c r="G78" i="3"/>
  <c r="G147" i="3"/>
  <c r="G240" i="3"/>
  <c r="G131" i="3"/>
  <c r="G241" i="3"/>
  <c r="G134" i="3"/>
  <c r="G186" i="3"/>
  <c r="G310" i="3"/>
  <c r="G4" i="3"/>
  <c r="G126" i="3"/>
  <c r="G273" i="3"/>
  <c r="G11" i="3"/>
  <c r="G188" i="3"/>
  <c r="G21" i="3"/>
  <c r="G76" i="3"/>
  <c r="G39" i="3"/>
  <c r="G206" i="3"/>
  <c r="G183" i="3"/>
  <c r="G351" i="3"/>
  <c r="G258" i="3"/>
  <c r="G224" i="3"/>
  <c r="G360" i="3"/>
  <c r="G340" i="3"/>
  <c r="G344" i="3"/>
  <c r="G254" i="3"/>
  <c r="G25" i="3"/>
  <c r="G63" i="3"/>
  <c r="G93" i="3"/>
  <c r="G116" i="3"/>
  <c r="G92" i="3"/>
  <c r="G180" i="3"/>
  <c r="G81" i="3"/>
  <c r="G167" i="3"/>
  <c r="G321" i="3"/>
  <c r="G327" i="3"/>
  <c r="G230" i="3"/>
  <c r="G332" i="3"/>
  <c r="G97" i="3"/>
  <c r="G323" i="3"/>
  <c r="G133" i="3"/>
  <c r="G118" i="3"/>
  <c r="G18" i="3"/>
  <c r="G234" i="3"/>
  <c r="G176" i="3"/>
  <c r="G95" i="3"/>
  <c r="G265" i="3"/>
  <c r="G333" i="3"/>
  <c r="G255" i="3"/>
  <c r="G61" i="3"/>
  <c r="G214" i="3"/>
  <c r="G149" i="3"/>
  <c r="G355" i="3"/>
  <c r="G123" i="3"/>
  <c r="G7" i="3"/>
  <c r="G276" i="3"/>
  <c r="G222" i="3"/>
  <c r="G9" i="3"/>
  <c r="G329" i="3"/>
  <c r="G140" i="3"/>
  <c r="G202" i="3"/>
  <c r="G108" i="3"/>
  <c r="G325" i="3"/>
  <c r="G359" i="3"/>
  <c r="G280" i="3"/>
  <c r="G221" i="3"/>
  <c r="G84" i="3"/>
  <c r="G38" i="3"/>
  <c r="G336" i="3"/>
  <c r="G200" i="3"/>
  <c r="G286" i="3"/>
  <c r="G331" i="3"/>
  <c r="G251" i="3"/>
  <c r="G193" i="3"/>
  <c r="G179" i="3"/>
  <c r="G174" i="3"/>
  <c r="G204" i="3"/>
  <c r="G48" i="3"/>
  <c r="G5" i="3"/>
  <c r="G308" i="3"/>
  <c r="G56" i="3"/>
  <c r="G91" i="3"/>
  <c r="G282" i="3"/>
  <c r="G12" i="3"/>
  <c r="G198" i="3"/>
  <c r="G35" i="3"/>
  <c r="G129" i="3"/>
  <c r="G20" i="3"/>
  <c r="G238" i="3"/>
  <c r="G300" i="3"/>
  <c r="G279" i="3"/>
  <c r="G151" i="3"/>
  <c r="G80" i="3"/>
  <c r="G343" i="3"/>
  <c r="G236" i="3"/>
  <c r="G52" i="3"/>
  <c r="G144" i="3"/>
  <c r="G77" i="3"/>
  <c r="G121" i="3"/>
  <c r="G141" i="3"/>
  <c r="G26" i="3"/>
  <c r="G64" i="3"/>
  <c r="G82" i="3"/>
  <c r="G293" i="3"/>
  <c r="G65" i="3"/>
  <c r="G29" i="3"/>
  <c r="G259" i="3"/>
  <c r="G72" i="3"/>
  <c r="G319" i="3"/>
  <c r="G130" i="3"/>
  <c r="G305" i="3"/>
  <c r="G105" i="3"/>
  <c r="G207" i="3"/>
  <c r="G98" i="3"/>
  <c r="G208" i="3"/>
  <c r="G90" i="3"/>
  <c r="G220" i="3"/>
  <c r="G302" i="3"/>
  <c r="G109" i="3"/>
  <c r="G350" i="3"/>
  <c r="G137" i="3"/>
  <c r="G316" i="3"/>
  <c r="G41" i="3"/>
  <c r="G154" i="3"/>
  <c r="G150" i="3"/>
  <c r="G271" i="3"/>
  <c r="G27" i="3"/>
  <c r="G264" i="3"/>
  <c r="G263" i="3"/>
  <c r="G152" i="3"/>
  <c r="G86" i="3"/>
  <c r="G338" i="3"/>
  <c r="G357" i="3"/>
  <c r="G22" i="3"/>
  <c r="G23" i="3"/>
  <c r="G314" i="3"/>
  <c r="G181" i="3"/>
  <c r="G33" i="3"/>
  <c r="G330" i="3"/>
  <c r="G195" i="3"/>
  <c r="G55" i="3"/>
  <c r="G192" i="3"/>
  <c r="G178" i="3"/>
  <c r="K20" i="1"/>
  <c r="G274" i="3"/>
  <c r="G159" i="3"/>
  <c r="G225" i="3"/>
  <c r="G267" i="3"/>
  <c r="G163" i="3"/>
  <c r="G239" i="3"/>
  <c r="G112" i="3"/>
  <c r="G148" i="3"/>
  <c r="G272" i="3"/>
  <c r="G175" i="3"/>
  <c r="G3" i="3"/>
  <c r="G165" i="3"/>
  <c r="G53" i="3"/>
  <c r="G253" i="3"/>
  <c r="G111" i="3"/>
  <c r="G342" i="3"/>
  <c r="G117" i="3"/>
  <c r="G66" i="3"/>
  <c r="G40" i="3"/>
  <c r="G307" i="3"/>
  <c r="G89" i="3"/>
  <c r="G269" i="3"/>
  <c r="G17" i="3"/>
  <c r="G203" i="3"/>
  <c r="G70" i="3"/>
  <c r="G143" i="3"/>
  <c r="G296" i="3"/>
  <c r="G162" i="3"/>
  <c r="G99" i="3"/>
  <c r="G281" i="3"/>
  <c r="G218" i="3"/>
  <c r="G227" i="3"/>
  <c r="G57" i="3"/>
  <c r="G46" i="3"/>
  <c r="G115" i="3"/>
  <c r="G155" i="3"/>
  <c r="G16" i="3"/>
  <c r="G237" i="3"/>
  <c r="G189" i="3"/>
  <c r="G30" i="3"/>
  <c r="G260" i="3"/>
  <c r="G347" i="3"/>
  <c r="G43" i="3"/>
  <c r="G101" i="3"/>
  <c r="G287" i="3"/>
  <c r="G166" i="3"/>
  <c r="G47" i="3"/>
  <c r="G335" i="3"/>
  <c r="G297" i="3"/>
  <c r="G243" i="3"/>
  <c r="G249" i="3"/>
  <c r="G24" i="3"/>
  <c r="G266" i="3"/>
  <c r="G210" i="3"/>
  <c r="G313" i="3"/>
  <c r="G217" i="3"/>
  <c r="G205" i="3"/>
  <c r="G248" i="3"/>
  <c r="J20" i="1"/>
  <c r="J19" i="1"/>
  <c r="P18" i="1"/>
  <c r="P22" i="1"/>
  <c r="AE5" i="4"/>
  <c r="J21" i="1"/>
  <c r="K21" i="1"/>
  <c r="E110" i="3"/>
  <c r="F110" i="3"/>
  <c r="E172" i="3"/>
  <c r="F172" i="3"/>
  <c r="E43" i="3"/>
  <c r="F43" i="3"/>
  <c r="E72" i="3"/>
  <c r="F72" i="3"/>
  <c r="E171" i="3"/>
  <c r="F171" i="3"/>
  <c r="E18" i="3"/>
  <c r="F18" i="3"/>
  <c r="E195" i="3"/>
  <c r="F195" i="3"/>
  <c r="E177" i="3"/>
  <c r="F177" i="3"/>
  <c r="E321" i="3"/>
  <c r="F321" i="3"/>
  <c r="E345" i="3"/>
  <c r="F345" i="3"/>
  <c r="E98" i="3"/>
  <c r="F98" i="3"/>
  <c r="E41" i="3"/>
  <c r="F41" i="3"/>
  <c r="E267" i="3"/>
  <c r="F267" i="3"/>
  <c r="E191" i="3"/>
  <c r="F191" i="3"/>
  <c r="E71" i="3"/>
  <c r="F71" i="3"/>
  <c r="E96" i="3"/>
  <c r="F96" i="3"/>
  <c r="E166" i="3"/>
  <c r="F166" i="3"/>
  <c r="E225" i="3"/>
  <c r="F225" i="3"/>
  <c r="I19" i="1"/>
  <c r="E93" i="3"/>
  <c r="F93" i="3"/>
  <c r="E308" i="3"/>
  <c r="F308" i="3"/>
  <c r="E254" i="3"/>
  <c r="F254" i="3"/>
  <c r="E26" i="3"/>
  <c r="F26" i="3"/>
  <c r="E228" i="3"/>
  <c r="F228" i="3"/>
  <c r="E337" i="3"/>
  <c r="F337" i="3"/>
  <c r="E338" i="3"/>
  <c r="F338" i="3"/>
  <c r="E48" i="3"/>
  <c r="F48" i="3"/>
  <c r="E17" i="3"/>
  <c r="F17" i="3"/>
  <c r="E54" i="3"/>
  <c r="F54" i="3"/>
  <c r="E29" i="3"/>
  <c r="F29" i="3"/>
  <c r="E185" i="3"/>
  <c r="F185" i="3"/>
  <c r="E188" i="3"/>
  <c r="F188" i="3"/>
  <c r="E79" i="3"/>
  <c r="F79" i="3"/>
  <c r="E300" i="3"/>
  <c r="F300" i="3"/>
  <c r="E217" i="3"/>
  <c r="F217" i="3"/>
  <c r="E336" i="3"/>
  <c r="F336" i="3"/>
  <c r="I20" i="1"/>
  <c r="E349" i="3"/>
  <c r="F349" i="3"/>
  <c r="E281" i="3"/>
  <c r="F281" i="3"/>
  <c r="E251" i="3"/>
  <c r="F251" i="3"/>
  <c r="E236" i="3"/>
  <c r="F236" i="3"/>
  <c r="E257" i="3"/>
  <c r="F257" i="3"/>
  <c r="E80" i="3"/>
  <c r="F80" i="3"/>
  <c r="E335" i="3"/>
  <c r="F335" i="3"/>
  <c r="E91" i="3"/>
  <c r="F91" i="3"/>
  <c r="E66" i="3"/>
  <c r="F66" i="3"/>
  <c r="E122" i="3"/>
  <c r="F122" i="3"/>
  <c r="I15" i="1"/>
  <c r="J15" i="1"/>
  <c r="E334" i="3"/>
  <c r="F334" i="3"/>
  <c r="E222" i="3"/>
  <c r="F222" i="3"/>
  <c r="E11" i="3"/>
  <c r="F11" i="3"/>
  <c r="E40" i="3"/>
  <c r="F40" i="3"/>
  <c r="E127" i="3"/>
  <c r="F127" i="3"/>
  <c r="E19" i="3"/>
  <c r="F19" i="3"/>
  <c r="E86" i="3"/>
  <c r="F86" i="3"/>
  <c r="E124" i="3"/>
  <c r="F124" i="3"/>
  <c r="E15" i="3"/>
  <c r="F15" i="3"/>
  <c r="E273" i="3"/>
  <c r="F273" i="3"/>
  <c r="E265" i="3"/>
  <c r="F265" i="3"/>
  <c r="E309" i="3"/>
  <c r="F309" i="3"/>
  <c r="E104" i="3"/>
  <c r="F104" i="3"/>
  <c r="E165" i="3"/>
  <c r="F165" i="3"/>
  <c r="E143" i="3"/>
  <c r="F143" i="3"/>
  <c r="E304" i="3"/>
  <c r="F304" i="3"/>
  <c r="E190" i="3"/>
  <c r="F190" i="3"/>
  <c r="E62" i="3"/>
  <c r="F62" i="3"/>
  <c r="E69" i="3"/>
  <c r="F69" i="3"/>
  <c r="E152" i="3"/>
  <c r="F152" i="3"/>
  <c r="E353" i="3"/>
  <c r="F353" i="3"/>
  <c r="E277" i="3"/>
  <c r="F277" i="3"/>
  <c r="E144" i="3"/>
  <c r="F144" i="3"/>
  <c r="E7" i="3"/>
  <c r="F7" i="3"/>
  <c r="E233" i="3"/>
  <c r="F233" i="3"/>
  <c r="E101" i="3"/>
  <c r="F101" i="3"/>
  <c r="E155" i="3"/>
  <c r="F155" i="3"/>
  <c r="E81" i="3"/>
  <c r="F81" i="3"/>
  <c r="E245" i="3"/>
  <c r="F245" i="3"/>
  <c r="E45" i="3"/>
  <c r="F45" i="3"/>
  <c r="E58" i="3"/>
  <c r="F58" i="3"/>
  <c r="E240" i="3"/>
  <c r="F240" i="3"/>
  <c r="E139" i="3"/>
  <c r="F139" i="3"/>
  <c r="E137" i="3"/>
  <c r="F137" i="3"/>
  <c r="E351" i="3"/>
  <c r="F351" i="3"/>
  <c r="E164" i="3"/>
  <c r="F164" i="3"/>
  <c r="E204" i="3"/>
  <c r="F204" i="3"/>
  <c r="E311" i="3"/>
  <c r="F311" i="3"/>
  <c r="E333" i="3"/>
  <c r="F333" i="3"/>
  <c r="E235" i="3"/>
  <c r="F235" i="3"/>
  <c r="E162" i="3"/>
  <c r="F162" i="3"/>
  <c r="E247" i="3"/>
  <c r="F247" i="3"/>
  <c r="E8" i="3"/>
  <c r="F8" i="3"/>
  <c r="E180" i="3"/>
  <c r="F180" i="3"/>
  <c r="E344" i="3"/>
  <c r="F344" i="3"/>
  <c r="E75" i="3"/>
  <c r="F75" i="3"/>
  <c r="E255" i="3"/>
  <c r="F255" i="3"/>
  <c r="E12" i="3"/>
  <c r="F12" i="3"/>
  <c r="E331" i="3"/>
  <c r="F331" i="3"/>
  <c r="E113" i="3"/>
  <c r="F113" i="3"/>
  <c r="E230" i="3"/>
  <c r="F230" i="3"/>
  <c r="E129" i="3"/>
  <c r="F129" i="3"/>
  <c r="E261" i="3"/>
  <c r="F261" i="3"/>
  <c r="E30" i="3"/>
  <c r="F30" i="3"/>
  <c r="E358" i="3"/>
  <c r="F358" i="3"/>
  <c r="E211" i="3"/>
  <c r="F211" i="3"/>
  <c r="E307" i="3"/>
  <c r="F307" i="3"/>
  <c r="E114" i="3"/>
  <c r="F114" i="3"/>
  <c r="E223" i="3"/>
  <c r="F223" i="3"/>
  <c r="E355" i="3"/>
  <c r="F355" i="3"/>
  <c r="E360" i="3"/>
  <c r="F360" i="3"/>
  <c r="E201" i="3"/>
  <c r="F201" i="3"/>
  <c r="E330" i="3"/>
  <c r="F330" i="3"/>
  <c r="E347" i="3"/>
  <c r="F347" i="3"/>
  <c r="E227" i="3"/>
  <c r="F227" i="3"/>
  <c r="E243" i="3"/>
  <c r="F243" i="3"/>
  <c r="E178" i="3"/>
  <c r="F178" i="3"/>
  <c r="E174" i="3"/>
  <c r="F174" i="3"/>
  <c r="E103" i="3"/>
  <c r="F103" i="3"/>
  <c r="E294" i="3"/>
  <c r="F294" i="3"/>
  <c r="E332" i="3"/>
  <c r="F332" i="3"/>
  <c r="E343" i="3"/>
  <c r="F343" i="3"/>
  <c r="E346" i="3"/>
  <c r="F346" i="3"/>
  <c r="E142" i="3"/>
  <c r="F142" i="3"/>
  <c r="E123" i="3"/>
  <c r="F123" i="3"/>
  <c r="E102" i="3"/>
  <c r="F102" i="3"/>
  <c r="E25" i="3"/>
  <c r="F25" i="3"/>
  <c r="E275" i="3"/>
  <c r="F275" i="3"/>
  <c r="E192" i="3"/>
  <c r="F192" i="3"/>
  <c r="E179" i="3"/>
  <c r="F179" i="3"/>
  <c r="E32" i="3"/>
  <c r="F32" i="3"/>
  <c r="E186" i="3"/>
  <c r="F186" i="3"/>
  <c r="E229" i="3"/>
  <c r="F229" i="3"/>
  <c r="E256" i="3"/>
  <c r="F256" i="3"/>
  <c r="E289" i="3"/>
  <c r="F289" i="3"/>
  <c r="E219" i="3"/>
  <c r="F219" i="3"/>
  <c r="E266" i="3"/>
  <c r="F266" i="3"/>
  <c r="E90" i="3"/>
  <c r="F90" i="3"/>
  <c r="E77" i="3"/>
  <c r="F77" i="3"/>
  <c r="E340" i="3"/>
  <c r="F340" i="3"/>
  <c r="E319" i="3"/>
  <c r="F319" i="3"/>
  <c r="E47" i="3"/>
  <c r="F47" i="3"/>
  <c r="E109" i="3"/>
  <c r="F109" i="3"/>
  <c r="E342" i="3"/>
  <c r="F342" i="3"/>
  <c r="E220" i="3"/>
  <c r="F220" i="3"/>
  <c r="E213" i="3"/>
  <c r="F213" i="3"/>
  <c r="E278" i="3"/>
  <c r="F278" i="3"/>
  <c r="E194" i="3"/>
  <c r="F194" i="3"/>
  <c r="E6" i="3"/>
  <c r="F6" i="3"/>
  <c r="E298" i="3"/>
  <c r="F298" i="3"/>
  <c r="E20" i="3"/>
  <c r="F20" i="3"/>
  <c r="E242" i="3"/>
  <c r="F242" i="3"/>
  <c r="E324" i="3"/>
  <c r="F324" i="3"/>
  <c r="E341" i="3"/>
  <c r="F341" i="3"/>
  <c r="E151" i="3"/>
  <c r="F151" i="3"/>
  <c r="E49" i="3"/>
  <c r="F49" i="3"/>
  <c r="E210" i="3"/>
  <c r="F210" i="3"/>
  <c r="E97" i="3"/>
  <c r="F97" i="3"/>
  <c r="E239" i="3"/>
  <c r="F239" i="3"/>
  <c r="E274" i="3"/>
  <c r="F274" i="3"/>
  <c r="E73" i="3"/>
  <c r="F73" i="3"/>
  <c r="E259" i="3"/>
  <c r="F259" i="3"/>
  <c r="E163" i="3"/>
  <c r="F163" i="3"/>
  <c r="E9" i="3"/>
  <c r="F9" i="3"/>
  <c r="E99" i="3"/>
  <c r="F99" i="3"/>
  <c r="E350" i="3"/>
  <c r="F350" i="3"/>
  <c r="E283" i="3"/>
  <c r="F283" i="3"/>
  <c r="E100" i="3"/>
  <c r="F100" i="3"/>
  <c r="E305" i="3"/>
  <c r="F305" i="3"/>
  <c r="E63" i="3"/>
  <c r="F63" i="3"/>
  <c r="E241" i="3"/>
  <c r="F241" i="3"/>
  <c r="E22" i="3"/>
  <c r="F22" i="3"/>
  <c r="E147" i="3"/>
  <c r="F147" i="3"/>
  <c r="E234" i="3"/>
  <c r="F234" i="3"/>
  <c r="E214" i="3"/>
  <c r="F214" i="3"/>
  <c r="E329" i="3"/>
  <c r="F329" i="3"/>
  <c r="E118" i="3"/>
  <c r="F118" i="3"/>
  <c r="E130" i="3"/>
  <c r="F130" i="3"/>
  <c r="E313" i="3"/>
  <c r="F313" i="3"/>
  <c r="E154" i="3"/>
  <c r="F154" i="3"/>
  <c r="E64" i="3"/>
  <c r="F64" i="3"/>
  <c r="E286" i="3"/>
  <c r="F286" i="3"/>
  <c r="E263" i="3"/>
  <c r="F263" i="3"/>
  <c r="E293" i="3"/>
  <c r="F293" i="3"/>
  <c r="E208" i="3"/>
  <c r="F208" i="3"/>
  <c r="E145" i="3"/>
  <c r="F145" i="3"/>
  <c r="E183" i="3"/>
  <c r="F183" i="3"/>
  <c r="E315" i="3"/>
  <c r="F315" i="3"/>
  <c r="E138" i="3"/>
  <c r="F138" i="3"/>
  <c r="E21" i="3"/>
  <c r="F21" i="3"/>
  <c r="E197" i="3"/>
  <c r="F197" i="3"/>
  <c r="E65" i="3"/>
  <c r="F65" i="3"/>
  <c r="E83" i="3"/>
  <c r="F83" i="3"/>
  <c r="E133" i="3"/>
  <c r="F133" i="3"/>
  <c r="E198" i="3"/>
  <c r="F198" i="3"/>
  <c r="E207" i="3"/>
  <c r="F207" i="3"/>
  <c r="E132" i="3"/>
  <c r="F132" i="3"/>
  <c r="E160" i="3"/>
  <c r="F160" i="3"/>
  <c r="E84" i="3"/>
  <c r="F84" i="3"/>
  <c r="E310" i="3"/>
  <c r="F310" i="3"/>
  <c r="E317" i="3"/>
  <c r="F317" i="3"/>
  <c r="E270" i="3"/>
  <c r="F270" i="3"/>
  <c r="E215" i="3"/>
  <c r="F215" i="3"/>
  <c r="E252" i="3"/>
  <c r="F252" i="3"/>
  <c r="E85" i="3"/>
  <c r="F85" i="3"/>
  <c r="E193" i="3"/>
  <c r="F193" i="3"/>
  <c r="E250" i="3"/>
  <c r="F250" i="3"/>
  <c r="E141" i="3"/>
  <c r="F141" i="3"/>
  <c r="E34" i="3"/>
  <c r="F34" i="3"/>
  <c r="E224" i="3"/>
  <c r="F224" i="3"/>
  <c r="E10" i="3"/>
  <c r="F10" i="3"/>
  <c r="E115" i="3"/>
  <c r="F115" i="3"/>
  <c r="E60" i="3"/>
  <c r="F60" i="3"/>
  <c r="E285" i="3"/>
  <c r="F285" i="3"/>
  <c r="E168" i="3"/>
  <c r="F168" i="3"/>
  <c r="E70" i="3"/>
  <c r="F70" i="3"/>
  <c r="E50" i="3"/>
  <c r="F50" i="3"/>
  <c r="E182" i="3"/>
  <c r="F182" i="3"/>
  <c r="E52" i="3"/>
  <c r="F52" i="3"/>
  <c r="E167" i="3"/>
  <c r="F167" i="3"/>
  <c r="E170" i="3"/>
  <c r="F170" i="3"/>
  <c r="E196" i="3"/>
  <c r="F196" i="3"/>
  <c r="E148" i="3"/>
  <c r="F148" i="3"/>
  <c r="E95" i="3"/>
  <c r="F95" i="3"/>
  <c r="E27" i="3"/>
  <c r="F27" i="3"/>
  <c r="E53" i="3"/>
  <c r="F53" i="3"/>
  <c r="E46" i="3"/>
  <c r="F46" i="3"/>
  <c r="E206" i="3"/>
  <c r="F206" i="3"/>
  <c r="E89" i="3"/>
  <c r="F89" i="3"/>
  <c r="E117" i="3"/>
  <c r="F117" i="3"/>
  <c r="E279" i="3"/>
  <c r="F279" i="3"/>
  <c r="E327" i="3"/>
  <c r="F327" i="3"/>
  <c r="E268" i="3"/>
  <c r="F268" i="3"/>
  <c r="E205" i="3"/>
  <c r="F205" i="3"/>
  <c r="E116" i="3"/>
  <c r="F116" i="3"/>
  <c r="E359" i="3"/>
  <c r="F359" i="3"/>
  <c r="E352" i="3"/>
  <c r="F352" i="3"/>
  <c r="E202" i="3"/>
  <c r="F202" i="3"/>
  <c r="E106" i="3"/>
  <c r="F106" i="3"/>
  <c r="E280" i="3"/>
  <c r="F280" i="3"/>
  <c r="E44" i="3"/>
  <c r="F44" i="3"/>
  <c r="E3" i="3"/>
  <c r="F3" i="3"/>
  <c r="E135" i="3"/>
  <c r="F135" i="3"/>
  <c r="E120" i="3"/>
  <c r="F120" i="3"/>
  <c r="E200" i="3"/>
  <c r="F200" i="3"/>
  <c r="E24" i="3"/>
  <c r="F24" i="3"/>
  <c r="E78" i="3"/>
  <c r="F78" i="3"/>
  <c r="E297" i="3"/>
  <c r="F297" i="3"/>
  <c r="E260" i="3"/>
  <c r="F260" i="3"/>
  <c r="E128" i="3"/>
  <c r="F128" i="3"/>
  <c r="E212" i="3"/>
  <c r="F212" i="3"/>
  <c r="E136" i="3"/>
  <c r="F136" i="3"/>
  <c r="E221" i="3"/>
  <c r="F221" i="3"/>
  <c r="E244" i="3"/>
  <c r="F244" i="3"/>
  <c r="E199" i="3"/>
  <c r="F199" i="3"/>
  <c r="E306" i="3"/>
  <c r="F306" i="3"/>
  <c r="E88" i="3"/>
  <c r="F88" i="3"/>
  <c r="E134" i="3"/>
  <c r="F134" i="3"/>
  <c r="E176" i="3"/>
  <c r="F176" i="3"/>
  <c r="E184" i="3"/>
  <c r="F184" i="3"/>
  <c r="E36" i="3"/>
  <c r="F36" i="3"/>
  <c r="E61" i="3"/>
  <c r="F61" i="3"/>
  <c r="E13" i="3"/>
  <c r="F13" i="3"/>
  <c r="E150" i="3"/>
  <c r="F150" i="3"/>
  <c r="E158" i="3"/>
  <c r="F158" i="3"/>
  <c r="E322" i="3"/>
  <c r="F322" i="3"/>
  <c r="E108" i="3"/>
  <c r="F108" i="3"/>
  <c r="E125" i="3"/>
  <c r="F125" i="3"/>
  <c r="E94" i="3"/>
  <c r="F94" i="3"/>
  <c r="E181" i="3"/>
  <c r="F181" i="3"/>
  <c r="E320" i="3"/>
  <c r="F320" i="3"/>
  <c r="E218" i="3"/>
  <c r="F218" i="3"/>
  <c r="E237" i="3"/>
  <c r="F237" i="3"/>
  <c r="E68" i="3"/>
  <c r="F68" i="3"/>
  <c r="E59" i="3"/>
  <c r="F59" i="3"/>
  <c r="E157" i="3"/>
  <c r="F157" i="3"/>
  <c r="E82" i="3"/>
  <c r="F82" i="3"/>
  <c r="E140" i="3"/>
  <c r="F140" i="3"/>
  <c r="E246" i="3"/>
  <c r="F246" i="3"/>
  <c r="E105" i="3"/>
  <c r="F105" i="3"/>
  <c r="E282" i="3"/>
  <c r="F282" i="3"/>
  <c r="E269" i="3"/>
  <c r="F269" i="3"/>
  <c r="E126" i="3"/>
  <c r="F126" i="3"/>
  <c r="E189" i="3"/>
  <c r="F189" i="3"/>
  <c r="E238" i="3"/>
  <c r="F238" i="3"/>
  <c r="E4" i="3"/>
  <c r="F4" i="3"/>
  <c r="E107" i="3"/>
  <c r="F107" i="3"/>
  <c r="E37" i="3"/>
  <c r="F37" i="3"/>
  <c r="E159" i="3"/>
  <c r="F159" i="3"/>
  <c r="E249" i="3"/>
  <c r="F249" i="3"/>
  <c r="E33" i="3"/>
  <c r="F33" i="3"/>
  <c r="E121" i="3"/>
  <c r="F121" i="3"/>
  <c r="E42" i="3"/>
  <c r="F42" i="3"/>
  <c r="E87" i="3"/>
  <c r="F87" i="3"/>
  <c r="E187" i="3"/>
  <c r="F187" i="3"/>
  <c r="E74" i="3"/>
  <c r="F74" i="3"/>
  <c r="E323" i="3"/>
  <c r="F323" i="3"/>
  <c r="E39" i="3"/>
  <c r="F39" i="3"/>
  <c r="E356" i="3"/>
  <c r="F356" i="3"/>
  <c r="E57" i="3"/>
  <c r="F57" i="3"/>
  <c r="E361" i="3"/>
  <c r="F361" i="3"/>
  <c r="E326" i="3"/>
  <c r="F326" i="3"/>
  <c r="E173" i="3"/>
  <c r="F173" i="3"/>
  <c r="E156" i="3"/>
  <c r="F156" i="3"/>
  <c r="E226" i="3"/>
  <c r="F226" i="3"/>
  <c r="E161" i="3"/>
  <c r="F161" i="3"/>
  <c r="E153" i="3"/>
  <c r="F153" i="3"/>
  <c r="E231" i="3"/>
  <c r="F231" i="3"/>
  <c r="E248" i="3"/>
  <c r="F248" i="3"/>
  <c r="E111" i="3"/>
  <c r="F111" i="3"/>
  <c r="E354" i="3"/>
  <c r="F354" i="3"/>
  <c r="E272" i="3"/>
  <c r="F272" i="3"/>
  <c r="E67" i="3"/>
  <c r="F67" i="3"/>
  <c r="E149" i="3"/>
  <c r="F149" i="3"/>
  <c r="E362" i="3"/>
  <c r="F362" i="3"/>
  <c r="E5" i="3"/>
  <c r="F5" i="3"/>
  <c r="E169" i="3"/>
  <c r="F169" i="3"/>
  <c r="E303" i="3"/>
  <c r="F303" i="3"/>
  <c r="E288" i="3"/>
  <c r="F288" i="3"/>
  <c r="E348" i="3"/>
  <c r="F348" i="3"/>
  <c r="E325" i="3"/>
  <c r="F325" i="3"/>
  <c r="E262" i="3"/>
  <c r="F262" i="3"/>
  <c r="E291" i="3"/>
  <c r="F291" i="3"/>
  <c r="E301" i="3"/>
  <c r="F301" i="3"/>
  <c r="E295" i="3"/>
  <c r="F295" i="3"/>
  <c r="E203" i="3"/>
  <c r="F203" i="3"/>
  <c r="E216" i="3"/>
  <c r="F216" i="3"/>
  <c r="E76" i="3"/>
  <c r="F76" i="3"/>
  <c r="E14" i="3"/>
  <c r="F14" i="3"/>
  <c r="E290" i="3"/>
  <c r="F290" i="3"/>
  <c r="E271" i="3"/>
  <c r="F271" i="3"/>
  <c r="E284" i="3"/>
  <c r="F284" i="3"/>
  <c r="E292" i="3"/>
  <c r="F292" i="3"/>
  <c r="E339" i="3"/>
  <c r="F339" i="3"/>
  <c r="E312" i="3"/>
  <c r="F312" i="3"/>
  <c r="E276" i="3"/>
  <c r="F276" i="3"/>
  <c r="E287" i="3"/>
  <c r="F287" i="3"/>
  <c r="E328" i="3"/>
  <c r="F328" i="3"/>
  <c r="E302" i="3"/>
  <c r="F302" i="3"/>
  <c r="E232" i="3"/>
  <c r="F232" i="3"/>
  <c r="E31" i="3"/>
  <c r="F31" i="3"/>
  <c r="E264" i="3"/>
  <c r="F264" i="3"/>
  <c r="E318" i="3"/>
  <c r="F318" i="3"/>
  <c r="E299" i="3"/>
  <c r="F299" i="3"/>
  <c r="E258" i="3"/>
  <c r="F258" i="3"/>
  <c r="E357" i="3"/>
  <c r="F357" i="3"/>
  <c r="R9" i="1"/>
  <c r="E131" i="3"/>
  <c r="F131" i="3"/>
  <c r="E146" i="3"/>
  <c r="F146" i="3"/>
  <c r="E16" i="3"/>
  <c r="F16" i="3"/>
  <c r="E296" i="3"/>
  <c r="F296" i="3"/>
  <c r="E175" i="3"/>
  <c r="F175" i="3"/>
  <c r="E316" i="3"/>
  <c r="F316" i="3"/>
  <c r="E55" i="3"/>
  <c r="F55" i="3"/>
  <c r="E119" i="3"/>
  <c r="F119" i="3"/>
  <c r="E112" i="3"/>
  <c r="F112" i="3"/>
  <c r="E314" i="3"/>
  <c r="F314" i="3"/>
  <c r="E23" i="3"/>
  <c r="F23" i="3"/>
  <c r="E28" i="3"/>
  <c r="F28" i="3"/>
  <c r="E209" i="3"/>
  <c r="F209" i="3"/>
  <c r="E35" i="3"/>
  <c r="F35" i="3"/>
  <c r="E56" i="3"/>
  <c r="F56" i="3"/>
  <c r="E253" i="3"/>
  <c r="F253" i="3"/>
  <c r="E92" i="3"/>
  <c r="F92" i="3"/>
  <c r="C28" i="2"/>
  <c r="P3" i="1"/>
  <c r="R4" i="1"/>
  <c r="E51" i="3"/>
  <c r="F51" i="3"/>
  <c r="E38" i="3"/>
  <c r="F38" i="3"/>
  <c r="P17" i="1"/>
  <c r="P21" i="1"/>
  <c r="I21" i="1"/>
  <c r="R21" i="1"/>
  <c r="AE4" i="4"/>
</calcChain>
</file>

<file path=xl/sharedStrings.xml><?xml version="1.0" encoding="utf-8"?>
<sst xmlns="http://schemas.openxmlformats.org/spreadsheetml/2006/main" count="402" uniqueCount="346">
  <si>
    <t>Vac_min</t>
    <phoneticPr fontId="1" type="noConversion"/>
  </si>
  <si>
    <t>Vac_max</t>
    <phoneticPr fontId="1" type="noConversion"/>
  </si>
  <si>
    <t>Vo_min</t>
    <phoneticPr fontId="1" type="noConversion"/>
  </si>
  <si>
    <t>Vo_max</t>
    <phoneticPr fontId="1" type="noConversion"/>
  </si>
  <si>
    <t>V</t>
    <phoneticPr fontId="1" type="noConversion"/>
  </si>
  <si>
    <t>A</t>
    <phoneticPr fontId="1" type="noConversion"/>
  </si>
  <si>
    <t>Hz</t>
    <phoneticPr fontId="1" type="noConversion"/>
  </si>
  <si>
    <t>最小电网频率</t>
    <phoneticPr fontId="1" type="noConversion"/>
  </si>
  <si>
    <t>VAC</t>
    <phoneticPr fontId="1" type="noConversion"/>
  </si>
  <si>
    <t>最小输入电压</t>
    <phoneticPr fontId="1" type="noConversion"/>
  </si>
  <si>
    <t>最大输入电压</t>
    <phoneticPr fontId="1" type="noConversion"/>
  </si>
  <si>
    <t>额定电网频率</t>
    <phoneticPr fontId="1" type="noConversion"/>
  </si>
  <si>
    <t>Fac_nom</t>
    <phoneticPr fontId="1" type="noConversion"/>
  </si>
  <si>
    <t>Fac_min</t>
    <phoneticPr fontId="1" type="noConversion"/>
  </si>
  <si>
    <t>VDC</t>
    <phoneticPr fontId="1" type="noConversion"/>
  </si>
  <si>
    <t>Vpkpk</t>
    <phoneticPr fontId="1" type="noConversion"/>
  </si>
  <si>
    <t>输出LED电流</t>
    <phoneticPr fontId="1" type="noConversion"/>
  </si>
  <si>
    <t>最小带载电压</t>
    <phoneticPr fontId="1" type="noConversion"/>
  </si>
  <si>
    <t>最大带载电压</t>
    <phoneticPr fontId="1" type="noConversion"/>
  </si>
  <si>
    <t>空载最大电压</t>
    <phoneticPr fontId="1" type="noConversion"/>
  </si>
  <si>
    <t>Vo_ovp</t>
    <phoneticPr fontId="1" type="noConversion"/>
  </si>
  <si>
    <t>输入参数：</t>
    <phoneticPr fontId="1" type="noConversion"/>
  </si>
  <si>
    <t>输出参数：</t>
    <phoneticPr fontId="1" type="noConversion"/>
  </si>
  <si>
    <t>kHz</t>
    <phoneticPr fontId="1" type="noConversion"/>
  </si>
  <si>
    <t>Fsw_min</t>
    <phoneticPr fontId="1" type="noConversion"/>
  </si>
  <si>
    <t>设计参数</t>
    <phoneticPr fontId="1" type="noConversion"/>
  </si>
  <si>
    <t>Vac_min_pk</t>
    <phoneticPr fontId="1" type="noConversion"/>
  </si>
  <si>
    <t>Vac_max_pk</t>
    <phoneticPr fontId="1" type="noConversion"/>
  </si>
  <si>
    <t>低压输入峰值</t>
    <phoneticPr fontId="1" type="noConversion"/>
  </si>
  <si>
    <t>高压输入峰值</t>
    <phoneticPr fontId="1" type="noConversion"/>
  </si>
  <si>
    <t>VRRM</t>
    <phoneticPr fontId="1" type="noConversion"/>
  </si>
  <si>
    <t>Vring</t>
    <phoneticPr fontId="1" type="noConversion"/>
  </si>
  <si>
    <t>Vspike</t>
    <phoneticPr fontId="1" type="noConversion"/>
  </si>
  <si>
    <t>最大匝比</t>
    <phoneticPr fontId="1" type="noConversion"/>
  </si>
  <si>
    <t>Nps_max</t>
    <phoneticPr fontId="1" type="noConversion"/>
  </si>
  <si>
    <t>最小匝比</t>
    <phoneticPr fontId="1" type="noConversion"/>
  </si>
  <si>
    <t>Nps_min</t>
    <phoneticPr fontId="1" type="noConversion"/>
  </si>
  <si>
    <t>VF</t>
    <phoneticPr fontId="1" type="noConversion"/>
  </si>
  <si>
    <t>Kmos</t>
    <phoneticPr fontId="1" type="noConversion"/>
  </si>
  <si>
    <t>Kdiode</t>
    <phoneticPr fontId="1" type="noConversion"/>
  </si>
  <si>
    <t>Nps</t>
    <phoneticPr fontId="1" type="noConversion"/>
  </si>
  <si>
    <t>选择匝比</t>
    <phoneticPr fontId="1" type="noConversion"/>
  </si>
  <si>
    <t>VR</t>
    <phoneticPr fontId="1" type="noConversion"/>
  </si>
  <si>
    <t>Kv_acmin</t>
    <phoneticPr fontId="1" type="noConversion"/>
  </si>
  <si>
    <t>Kv_acmax</t>
    <phoneticPr fontId="1" type="noConversion"/>
  </si>
  <si>
    <t>匝比</t>
    <phoneticPr fontId="1" type="noConversion"/>
  </si>
  <si>
    <t>反射电压</t>
    <phoneticPr fontId="1" type="noConversion"/>
  </si>
  <si>
    <t>F1(Kv)</t>
    <phoneticPr fontId="1" type="noConversion"/>
  </si>
  <si>
    <t>F2(Kv)</t>
    <phoneticPr fontId="1" type="noConversion"/>
  </si>
  <si>
    <t>F3(Kv)</t>
    <phoneticPr fontId="1" type="noConversion"/>
  </si>
  <si>
    <t>Po_max</t>
    <phoneticPr fontId="1" type="noConversion"/>
  </si>
  <si>
    <t>Iout</t>
    <phoneticPr fontId="1" type="noConversion"/>
  </si>
  <si>
    <t>Pin_max</t>
    <phoneticPr fontId="1" type="noConversion"/>
  </si>
  <si>
    <t>最大电感量</t>
    <phoneticPr fontId="1" type="noConversion"/>
  </si>
  <si>
    <t>Lp</t>
    <phoneticPr fontId="1" type="noConversion"/>
  </si>
  <si>
    <t>uH</t>
    <phoneticPr fontId="1" type="noConversion"/>
  </si>
  <si>
    <t>Lp_max</t>
    <phoneticPr fontId="1" type="noConversion"/>
  </si>
  <si>
    <t>选择电感量</t>
    <phoneticPr fontId="1" type="noConversion"/>
  </si>
  <si>
    <t>满载</t>
    <phoneticPr fontId="1" type="noConversion"/>
  </si>
  <si>
    <t>Ip_rms</t>
    <phoneticPr fontId="1" type="noConversion"/>
  </si>
  <si>
    <t>Is_pk</t>
    <phoneticPr fontId="1" type="noConversion"/>
  </si>
  <si>
    <t>Is_rms</t>
    <phoneticPr fontId="1" type="noConversion"/>
  </si>
  <si>
    <t>最小输出电容量</t>
    <phoneticPr fontId="1" type="noConversion"/>
  </si>
  <si>
    <t>uF</t>
    <phoneticPr fontId="1" type="noConversion"/>
  </si>
  <si>
    <t>F4(Kv)</t>
    <phoneticPr fontId="1" type="noConversion"/>
  </si>
  <si>
    <t>F5(Kv)</t>
    <phoneticPr fontId="1" type="noConversion"/>
  </si>
  <si>
    <t>Cout</t>
    <phoneticPr fontId="1" type="noConversion"/>
  </si>
  <si>
    <t>Cout_min</t>
    <phoneticPr fontId="1" type="noConversion"/>
  </si>
  <si>
    <t>原边电流峰值</t>
    <phoneticPr fontId="1" type="noConversion"/>
  </si>
  <si>
    <t>原边电流有效值</t>
    <phoneticPr fontId="1" type="noConversion"/>
  </si>
  <si>
    <t>副边电流峰值</t>
    <phoneticPr fontId="1" type="noConversion"/>
  </si>
  <si>
    <t>副边电流有效值</t>
    <phoneticPr fontId="1" type="noConversion"/>
  </si>
  <si>
    <t>Ａ</t>
    <phoneticPr fontId="1" type="noConversion"/>
  </si>
  <si>
    <t>Vac</t>
    <phoneticPr fontId="1" type="noConversion"/>
  </si>
  <si>
    <t>输入电压</t>
    <phoneticPr fontId="1" type="noConversion"/>
  </si>
  <si>
    <t>输出电解电流</t>
    <phoneticPr fontId="1" type="noConversion"/>
  </si>
  <si>
    <t>Ic_rms</t>
    <phoneticPr fontId="1" type="noConversion"/>
  </si>
  <si>
    <t>PF</t>
    <phoneticPr fontId="1" type="noConversion"/>
  </si>
  <si>
    <t>Ton</t>
    <phoneticPr fontId="1" type="noConversion"/>
  </si>
  <si>
    <t>MOS导通时间</t>
    <phoneticPr fontId="1" type="noConversion"/>
  </si>
  <si>
    <t>峰值处关断时间</t>
    <phoneticPr fontId="1" type="noConversion"/>
  </si>
  <si>
    <t>Toff</t>
    <phoneticPr fontId="1" type="noConversion"/>
  </si>
  <si>
    <t>us</t>
    <phoneticPr fontId="1" type="noConversion"/>
  </si>
  <si>
    <t>选择输出电容量</t>
    <phoneticPr fontId="1" type="noConversion"/>
  </si>
  <si>
    <t>Cin</t>
    <phoneticPr fontId="1" type="noConversion"/>
  </si>
  <si>
    <t>nF</t>
    <phoneticPr fontId="1" type="noConversion"/>
  </si>
  <si>
    <t>Tang</t>
    <phoneticPr fontId="1" type="noConversion"/>
  </si>
  <si>
    <t>Cin引起的正切</t>
    <phoneticPr fontId="1" type="noConversion"/>
  </si>
  <si>
    <t>Cos</t>
    <phoneticPr fontId="1" type="noConversion"/>
  </si>
  <si>
    <t>主功率回路设计：</t>
    <phoneticPr fontId="1" type="noConversion"/>
  </si>
  <si>
    <t>VDS</t>
    <phoneticPr fontId="1" type="noConversion"/>
  </si>
  <si>
    <t>Vdiode</t>
    <phoneticPr fontId="1" type="noConversion"/>
  </si>
  <si>
    <t>100-150V</t>
    <phoneticPr fontId="1" type="noConversion"/>
  </si>
  <si>
    <t>10-30V</t>
    <phoneticPr fontId="1" type="noConversion"/>
  </si>
  <si>
    <t>关键元器件选择：</t>
    <phoneticPr fontId="1" type="noConversion"/>
  </si>
  <si>
    <t>其它参数：</t>
    <phoneticPr fontId="1" type="noConversion"/>
  </si>
  <si>
    <t>主回路电压电流计算：</t>
    <phoneticPr fontId="1" type="noConversion"/>
  </si>
  <si>
    <t>角度</t>
    <phoneticPr fontId="1" type="noConversion"/>
  </si>
  <si>
    <t>弧度</t>
    <phoneticPr fontId="1" type="noConversion"/>
  </si>
  <si>
    <t>Ip_pk</t>
    <phoneticPr fontId="1" type="noConversion"/>
  </si>
  <si>
    <t>正弦</t>
    <phoneticPr fontId="1" type="noConversion"/>
  </si>
  <si>
    <t>占空比</t>
    <phoneticPr fontId="1" type="noConversion"/>
  </si>
  <si>
    <t>Iin(theta)</t>
    <phoneticPr fontId="1" type="noConversion"/>
  </si>
  <si>
    <t>低压</t>
    <phoneticPr fontId="1" type="noConversion"/>
  </si>
  <si>
    <t>CS采样电阻</t>
    <phoneticPr fontId="1" type="noConversion"/>
  </si>
  <si>
    <t>Ω</t>
    <phoneticPr fontId="1" type="noConversion"/>
  </si>
  <si>
    <t>内部参数</t>
    <phoneticPr fontId="1" type="noConversion"/>
  </si>
  <si>
    <t>VREF</t>
    <phoneticPr fontId="1" type="noConversion"/>
  </si>
  <si>
    <t>FB_OVP</t>
    <phoneticPr fontId="1" type="noConversion"/>
  </si>
  <si>
    <t>V</t>
    <phoneticPr fontId="1" type="noConversion"/>
  </si>
  <si>
    <t>kΩ</t>
    <phoneticPr fontId="1" type="noConversion"/>
  </si>
  <si>
    <t>k1</t>
    <phoneticPr fontId="3" type="noConversion"/>
  </si>
  <si>
    <t>k1w</t>
    <phoneticPr fontId="3" type="noConversion"/>
  </si>
  <si>
    <t>变压器设计</t>
    <phoneticPr fontId="3" type="noConversion"/>
  </si>
  <si>
    <t>AP</t>
    <phoneticPr fontId="1" type="noConversion"/>
  </si>
  <si>
    <t>Bmax</t>
    <phoneticPr fontId="1" type="noConversion"/>
  </si>
  <si>
    <t>T</t>
    <phoneticPr fontId="1" type="noConversion"/>
  </si>
  <si>
    <t>最大磁通</t>
    <phoneticPr fontId="1" type="noConversion"/>
  </si>
  <si>
    <t>Bmax</t>
    <phoneticPr fontId="1" type="noConversion"/>
  </si>
  <si>
    <t>T</t>
    <phoneticPr fontId="1" type="noConversion"/>
  </si>
  <si>
    <t>uH</t>
    <phoneticPr fontId="1" type="noConversion"/>
  </si>
  <si>
    <t>AP面积</t>
    <phoneticPr fontId="1" type="noConversion"/>
  </si>
  <si>
    <t>AP</t>
    <phoneticPr fontId="1" type="noConversion"/>
  </si>
  <si>
    <t>BPQ20/16-1114CPFR</t>
  </si>
  <si>
    <t>BPQ20/20-1114CPFR</t>
  </si>
  <si>
    <t>BPQ26/20-1112CPFR</t>
  </si>
  <si>
    <t>BPQ26/25-1112CPFR</t>
  </si>
  <si>
    <t>BPQ32/20-1112CPFR</t>
  </si>
  <si>
    <t>BPQ32/30-1112CPFR</t>
  </si>
  <si>
    <t>BPQ35/35-1112CPFR</t>
  </si>
  <si>
    <t>BPQ40/40-1112CPFR</t>
  </si>
  <si>
    <t>BPQ50/50-1112DSFR</t>
  </si>
  <si>
    <t>Core size</t>
  </si>
  <si>
    <t>Bobin size</t>
  </si>
  <si>
    <t>Ae</t>
  </si>
  <si>
    <t>Le</t>
  </si>
  <si>
    <t>Aw</t>
  </si>
  <si>
    <t>Ap</t>
  </si>
  <si>
    <t>Lw</t>
  </si>
  <si>
    <t xml:space="preserve">PQ20/16 </t>
    <phoneticPr fontId="1" type="noConversion"/>
  </si>
  <si>
    <t xml:space="preserve">PQ20/20 </t>
    <phoneticPr fontId="1" type="noConversion"/>
  </si>
  <si>
    <t>PQ26/20</t>
    <phoneticPr fontId="1" type="noConversion"/>
  </si>
  <si>
    <t xml:space="preserve">PQ26/25 </t>
    <phoneticPr fontId="1" type="noConversion"/>
  </si>
  <si>
    <t xml:space="preserve">PQ32/20  </t>
    <phoneticPr fontId="1" type="noConversion"/>
  </si>
  <si>
    <t>PQ32/30</t>
    <phoneticPr fontId="1" type="noConversion"/>
  </si>
  <si>
    <t>PQ35/35</t>
    <phoneticPr fontId="1" type="noConversion"/>
  </si>
  <si>
    <t>PQ40/40</t>
    <phoneticPr fontId="1" type="noConversion"/>
  </si>
  <si>
    <t>PQ50/50</t>
    <phoneticPr fontId="1" type="noConversion"/>
  </si>
  <si>
    <t>选择磁芯</t>
    <phoneticPr fontId="1" type="noConversion"/>
  </si>
  <si>
    <t>Ae</t>
    <phoneticPr fontId="1" type="noConversion"/>
  </si>
  <si>
    <t>窗口面积</t>
    <phoneticPr fontId="1" type="noConversion"/>
  </si>
  <si>
    <t>Np</t>
    <phoneticPr fontId="1" type="noConversion"/>
  </si>
  <si>
    <t>圈</t>
    <phoneticPr fontId="1" type="noConversion"/>
  </si>
  <si>
    <t>Np_est</t>
    <phoneticPr fontId="1" type="noConversion"/>
  </si>
  <si>
    <t>变压器设计：</t>
    <phoneticPr fontId="1" type="noConversion"/>
  </si>
  <si>
    <t>控制参数设计：</t>
    <phoneticPr fontId="1" type="noConversion"/>
  </si>
  <si>
    <t>电流密度</t>
    <phoneticPr fontId="1" type="noConversion"/>
  </si>
  <si>
    <t>J</t>
    <phoneticPr fontId="1" type="noConversion"/>
  </si>
  <si>
    <t>Apri</t>
    <phoneticPr fontId="1" type="noConversion"/>
  </si>
  <si>
    <t>Asec</t>
    <phoneticPr fontId="1" type="noConversion"/>
  </si>
  <si>
    <t>Strand_Pri</t>
    <phoneticPr fontId="1" type="noConversion"/>
  </si>
  <si>
    <t>Dpri</t>
    <phoneticPr fontId="1" type="noConversion"/>
  </si>
  <si>
    <t>原边线径</t>
    <phoneticPr fontId="1" type="noConversion"/>
  </si>
  <si>
    <t>Dsec</t>
    <phoneticPr fontId="1" type="noConversion"/>
  </si>
  <si>
    <t>副边线径</t>
    <phoneticPr fontId="1" type="noConversion"/>
  </si>
  <si>
    <t>Strand_Sec</t>
    <phoneticPr fontId="1" type="noConversion"/>
  </si>
  <si>
    <t>原边股数</t>
    <phoneticPr fontId="1" type="noConversion"/>
  </si>
  <si>
    <t>副边股数</t>
    <phoneticPr fontId="1" type="noConversion"/>
  </si>
  <si>
    <t>mm</t>
    <phoneticPr fontId="1" type="noConversion"/>
  </si>
  <si>
    <t>估算圈数</t>
    <phoneticPr fontId="1" type="noConversion"/>
  </si>
  <si>
    <t>Ns_est</t>
    <phoneticPr fontId="1" type="noConversion"/>
  </si>
  <si>
    <t>Ns</t>
    <phoneticPr fontId="1" type="noConversion"/>
  </si>
  <si>
    <t>趋肤深度</t>
    <phoneticPr fontId="1" type="noConversion"/>
  </si>
  <si>
    <t>δ</t>
    <phoneticPr fontId="1" type="noConversion"/>
  </si>
  <si>
    <t>mm</t>
    <phoneticPr fontId="1" type="noConversion"/>
  </si>
  <si>
    <t>MOS击穿电压</t>
    <phoneticPr fontId="1" type="noConversion"/>
  </si>
  <si>
    <t>MOS降额系数</t>
    <phoneticPr fontId="1" type="noConversion"/>
  </si>
  <si>
    <t>DIODE耐压</t>
    <phoneticPr fontId="1" type="noConversion"/>
  </si>
  <si>
    <t>MOS振铃电压</t>
    <phoneticPr fontId="1" type="noConversion"/>
  </si>
  <si>
    <t>DIODE振铃</t>
    <phoneticPr fontId="1" type="noConversion"/>
  </si>
  <si>
    <t>DIODE反向电压</t>
    <phoneticPr fontId="1" type="noConversion"/>
  </si>
  <si>
    <t>输出纹波</t>
    <phoneticPr fontId="1" type="noConversion"/>
  </si>
  <si>
    <t>@acmin</t>
    <phoneticPr fontId="1" type="noConversion"/>
  </si>
  <si>
    <t>最小频率</t>
    <phoneticPr fontId="1" type="noConversion"/>
  </si>
  <si>
    <t>Vac_min</t>
    <phoneticPr fontId="1" type="noConversion"/>
  </si>
  <si>
    <t>MOS DS电压</t>
    <phoneticPr fontId="1" type="noConversion"/>
  </si>
  <si>
    <t>副边等效截面</t>
    <phoneticPr fontId="1" type="noConversion"/>
  </si>
  <si>
    <t>原边等效截面</t>
    <phoneticPr fontId="1" type="noConversion"/>
  </si>
  <si>
    <r>
      <t>A/mm</t>
    </r>
    <r>
      <rPr>
        <vertAlign val="superscript"/>
        <sz val="10"/>
        <color theme="1"/>
        <rFont val="等线"/>
        <family val="3"/>
        <charset val="134"/>
        <scheme val="minor"/>
      </rPr>
      <t>2</t>
    </r>
    <phoneticPr fontId="1" type="noConversion"/>
  </si>
  <si>
    <t>Vcc_on</t>
    <phoneticPr fontId="1" type="noConversion"/>
  </si>
  <si>
    <t>Vcc_off</t>
    <phoneticPr fontId="1" type="noConversion"/>
  </si>
  <si>
    <t>V</t>
    <phoneticPr fontId="1" type="noConversion"/>
  </si>
  <si>
    <t>Ivcc_discharge</t>
    <phoneticPr fontId="1" type="noConversion"/>
  </si>
  <si>
    <t>uA</t>
    <phoneticPr fontId="1" type="noConversion"/>
  </si>
  <si>
    <t>FB上电阻估计</t>
    <phoneticPr fontId="1" type="noConversion"/>
  </si>
  <si>
    <t>V</t>
    <phoneticPr fontId="1" type="noConversion"/>
  </si>
  <si>
    <t>线补电流</t>
    <phoneticPr fontId="1" type="noConversion"/>
  </si>
  <si>
    <t>uA</t>
    <phoneticPr fontId="1" type="noConversion"/>
  </si>
  <si>
    <t>FB上电阻</t>
    <phoneticPr fontId="1" type="noConversion"/>
  </si>
  <si>
    <t>Rup_est</t>
    <phoneticPr fontId="1" type="noConversion"/>
  </si>
  <si>
    <t>Rup</t>
    <phoneticPr fontId="1" type="noConversion"/>
  </si>
  <si>
    <t>FB下电阻</t>
    <phoneticPr fontId="1" type="noConversion"/>
  </si>
  <si>
    <t>Ifb</t>
    <phoneticPr fontId="1" type="noConversion"/>
  </si>
  <si>
    <t>Rdown_est</t>
    <phoneticPr fontId="1" type="noConversion"/>
  </si>
  <si>
    <t>实际匝比</t>
    <phoneticPr fontId="1" type="noConversion"/>
  </si>
  <si>
    <t>FB下电阻估计</t>
    <phoneticPr fontId="1" type="noConversion"/>
  </si>
  <si>
    <t>Rdown</t>
    <phoneticPr fontId="1" type="noConversion"/>
  </si>
  <si>
    <t>Vovp_real</t>
    <phoneticPr fontId="1" type="noConversion"/>
  </si>
  <si>
    <t>FB_Openloop</t>
    <phoneticPr fontId="1" type="noConversion"/>
  </si>
  <si>
    <t>FB_ZCD</t>
    <phoneticPr fontId="1" type="noConversion"/>
  </si>
  <si>
    <t>V</t>
    <phoneticPr fontId="1" type="noConversion"/>
  </si>
  <si>
    <t>实际OVP电压</t>
    <phoneticPr fontId="1" type="noConversion"/>
  </si>
  <si>
    <t>ZCD临界点</t>
    <phoneticPr fontId="1" type="noConversion"/>
  </si>
  <si>
    <t>Voc_cri</t>
    <phoneticPr fontId="1" type="noConversion"/>
  </si>
  <si>
    <t>Vzcd_cri</t>
    <phoneticPr fontId="1" type="noConversion"/>
  </si>
  <si>
    <t>Ivcc_charge</t>
    <phoneticPr fontId="1" type="noConversion"/>
  </si>
  <si>
    <t>mA</t>
    <phoneticPr fontId="1" type="noConversion"/>
  </si>
  <si>
    <t>Vcc_max</t>
    <phoneticPr fontId="1" type="noConversion"/>
  </si>
  <si>
    <t>CS电阻损耗</t>
    <phoneticPr fontId="1" type="noConversion"/>
  </si>
  <si>
    <r>
      <t>P</t>
    </r>
    <r>
      <rPr>
        <sz val="8"/>
        <color theme="1"/>
        <rFont val="等线"/>
        <family val="3"/>
        <charset val="134"/>
        <scheme val="minor"/>
      </rPr>
      <t>RCS</t>
    </r>
    <phoneticPr fontId="1" type="noConversion"/>
  </si>
  <si>
    <t>W</t>
    <phoneticPr fontId="1" type="noConversion"/>
  </si>
  <si>
    <t>CS引脚：</t>
    <phoneticPr fontId="1" type="noConversion"/>
  </si>
  <si>
    <t>FB引脚：</t>
    <phoneticPr fontId="1" type="noConversion"/>
  </si>
  <si>
    <t>Vcc引脚：</t>
    <phoneticPr fontId="1" type="noConversion"/>
  </si>
  <si>
    <t>气隙估算</t>
    <phoneticPr fontId="1" type="noConversion"/>
  </si>
  <si>
    <t>mm</t>
    <phoneticPr fontId="1" type="noConversion"/>
  </si>
  <si>
    <t>Lg</t>
    <phoneticPr fontId="1" type="noConversion"/>
  </si>
  <si>
    <t>Naux_est</t>
    <phoneticPr fontId="1" type="noConversion"/>
  </si>
  <si>
    <t>Naux</t>
    <phoneticPr fontId="1" type="noConversion"/>
  </si>
  <si>
    <t>圈</t>
    <phoneticPr fontId="1" type="noConversion"/>
  </si>
  <si>
    <t>V</t>
    <phoneticPr fontId="1" type="noConversion"/>
  </si>
  <si>
    <t>uF</t>
    <phoneticPr fontId="1" type="noConversion"/>
  </si>
  <si>
    <t>峰值处频率</t>
    <phoneticPr fontId="1" type="noConversion"/>
  </si>
  <si>
    <t>Fsw_min</t>
    <phoneticPr fontId="1" type="noConversion"/>
  </si>
  <si>
    <t>kHz</t>
    <phoneticPr fontId="1" type="noConversion"/>
  </si>
  <si>
    <t>原边匝数预估</t>
    <phoneticPr fontId="1" type="noConversion"/>
  </si>
  <si>
    <t>原边匝数选取</t>
    <phoneticPr fontId="1" type="noConversion"/>
  </si>
  <si>
    <t>副边匝数预估</t>
    <phoneticPr fontId="1" type="noConversion"/>
  </si>
  <si>
    <t>整流桥后电容量</t>
    <phoneticPr fontId="1" type="noConversion"/>
  </si>
  <si>
    <t>功率因素(预估）</t>
    <phoneticPr fontId="1" type="noConversion"/>
  </si>
  <si>
    <t>Nps_real</t>
    <phoneticPr fontId="1" type="noConversion"/>
  </si>
  <si>
    <t>选择CS电阻</t>
    <phoneticPr fontId="1" type="noConversion"/>
  </si>
  <si>
    <t>Rcs_est</t>
    <phoneticPr fontId="1" type="noConversion"/>
  </si>
  <si>
    <t>Rcs</t>
    <phoneticPr fontId="1" type="noConversion"/>
  </si>
  <si>
    <t>Vac_mid</t>
    <phoneticPr fontId="1" type="noConversion"/>
  </si>
  <si>
    <t>Vac_mid_pk</t>
    <phoneticPr fontId="1" type="noConversion"/>
  </si>
  <si>
    <t>Kv_acmid</t>
    <phoneticPr fontId="1" type="noConversion"/>
  </si>
  <si>
    <t>V</t>
    <phoneticPr fontId="1" type="noConversion"/>
  </si>
  <si>
    <r>
      <t>mm</t>
    </r>
    <r>
      <rPr>
        <vertAlign val="superscript"/>
        <sz val="10"/>
        <color theme="1"/>
        <rFont val="等线"/>
        <family val="3"/>
        <charset val="134"/>
        <scheme val="minor"/>
      </rPr>
      <t>2</t>
    </r>
    <phoneticPr fontId="1" type="noConversion"/>
  </si>
  <si>
    <t>有效截面积</t>
    <phoneticPr fontId="1" type="noConversion"/>
  </si>
  <si>
    <t>实际有效截面积</t>
    <phoneticPr fontId="1" type="noConversion"/>
  </si>
  <si>
    <r>
      <t>mm</t>
    </r>
    <r>
      <rPr>
        <vertAlign val="superscript"/>
        <sz val="10"/>
        <color theme="1"/>
        <rFont val="等线"/>
        <family val="3"/>
        <charset val="134"/>
        <scheme val="minor"/>
      </rPr>
      <t>4</t>
    </r>
    <phoneticPr fontId="1" type="noConversion"/>
  </si>
  <si>
    <t>FB检测绕组匝数</t>
    <phoneticPr fontId="1" type="noConversion"/>
  </si>
  <si>
    <t>DIODE降额</t>
    <phoneticPr fontId="1" type="noConversion"/>
  </si>
  <si>
    <t>DIODE正向压降</t>
    <phoneticPr fontId="1" type="noConversion"/>
  </si>
  <si>
    <t>VDSS</t>
    <phoneticPr fontId="1" type="noConversion"/>
  </si>
  <si>
    <t>η</t>
    <phoneticPr fontId="1" type="noConversion"/>
  </si>
  <si>
    <t>受MOS应力约束</t>
    <phoneticPr fontId="1" type="noConversion"/>
  </si>
  <si>
    <t>受DIODE应力约束</t>
    <phoneticPr fontId="1" type="noConversion"/>
  </si>
  <si>
    <t>基于匝比</t>
    <phoneticPr fontId="1" type="noConversion"/>
  </si>
  <si>
    <t>用户输入</t>
    <phoneticPr fontId="1" type="noConversion"/>
  </si>
  <si>
    <t>按Vac_max线补</t>
    <phoneticPr fontId="1" type="noConversion"/>
  </si>
  <si>
    <t>开闭环临界点</t>
    <phoneticPr fontId="1" type="noConversion"/>
  </si>
  <si>
    <t>RS1M</t>
    <phoneticPr fontId="1" type="noConversion"/>
  </si>
  <si>
    <t>COMP引脚：</t>
    <phoneticPr fontId="1" type="noConversion"/>
  </si>
  <si>
    <t>Ccomp</t>
    <phoneticPr fontId="1" type="noConversion"/>
  </si>
  <si>
    <t>补偿电容</t>
    <phoneticPr fontId="1" type="noConversion"/>
  </si>
  <si>
    <t>圈数</t>
    <phoneticPr fontId="1" type="noConversion"/>
  </si>
  <si>
    <t>线径</t>
    <phoneticPr fontId="1" type="noConversion"/>
  </si>
  <si>
    <t>原边绕组</t>
    <phoneticPr fontId="1" type="noConversion"/>
  </si>
  <si>
    <t>副边绕组</t>
    <phoneticPr fontId="1" type="noConversion"/>
  </si>
  <si>
    <t>辅助绕组</t>
    <phoneticPr fontId="1" type="noConversion"/>
  </si>
  <si>
    <t>绕组</t>
    <phoneticPr fontId="1" type="noConversion"/>
  </si>
  <si>
    <t>磁芯</t>
    <phoneticPr fontId="1" type="noConversion"/>
  </si>
  <si>
    <t>电感量</t>
    <phoneticPr fontId="1" type="noConversion"/>
  </si>
  <si>
    <t>磁芯气隙</t>
    <phoneticPr fontId="1" type="noConversion"/>
  </si>
  <si>
    <t>效率(不含EMC)</t>
    <phoneticPr fontId="1" type="noConversion"/>
  </si>
  <si>
    <t>RM10</t>
    <phoneticPr fontId="1" type="noConversion"/>
  </si>
  <si>
    <t>应&lt;Vo_min</t>
    <phoneticPr fontId="1" type="noConversion"/>
  </si>
  <si>
    <t>0.8-1uF/mA</t>
    <phoneticPr fontId="1" type="noConversion"/>
  </si>
  <si>
    <t>受频率约束</t>
    <phoneticPr fontId="1" type="noConversion"/>
  </si>
  <si>
    <t>最大Vcc电容</t>
    <phoneticPr fontId="1" type="noConversion"/>
  </si>
  <si>
    <t>Cvcc_est</t>
    <phoneticPr fontId="1" type="noConversion"/>
  </si>
  <si>
    <t>uF</t>
    <phoneticPr fontId="1" type="noConversion"/>
  </si>
  <si>
    <t>选择Vcc电容</t>
    <phoneticPr fontId="1" type="noConversion"/>
  </si>
  <si>
    <t>Cvcc</t>
    <phoneticPr fontId="1" type="noConversion"/>
  </si>
  <si>
    <t>Tdelay</t>
    <phoneticPr fontId="1" type="noConversion"/>
  </si>
  <si>
    <t>ms</t>
    <phoneticPr fontId="1" type="noConversion"/>
  </si>
  <si>
    <t>Vcc并联电阻</t>
    <phoneticPr fontId="1" type="noConversion"/>
  </si>
  <si>
    <t>Rvcc</t>
    <phoneticPr fontId="1" type="noConversion"/>
  </si>
  <si>
    <t>kΩ</t>
    <phoneticPr fontId="1" type="noConversion"/>
  </si>
  <si>
    <t>Vcc复位时间</t>
    <phoneticPr fontId="1" type="noConversion"/>
  </si>
  <si>
    <t>Tdis</t>
    <phoneticPr fontId="1" type="noConversion"/>
  </si>
  <si>
    <t>建议&lt;1s</t>
    <phoneticPr fontId="1" type="noConversion"/>
  </si>
  <si>
    <t>VCC充电时间</t>
    <phoneticPr fontId="1" type="noConversion"/>
  </si>
  <si>
    <t>推荐1-2.2uF</t>
    <phoneticPr fontId="1" type="noConversion"/>
  </si>
  <si>
    <r>
      <t xml:space="preserve">RS1M
</t>
    </r>
    <r>
      <rPr>
        <sz val="10"/>
        <color theme="5"/>
        <rFont val="宋体"/>
        <family val="3"/>
        <charset val="134"/>
      </rPr>
      <t>或</t>
    </r>
    <r>
      <rPr>
        <sz val="10"/>
        <color theme="5"/>
        <rFont val="Arial"/>
        <family val="2"/>
      </rPr>
      <t>M7</t>
    </r>
    <phoneticPr fontId="1" type="noConversion"/>
  </si>
  <si>
    <t>目标VCC电压</t>
    <phoneticPr fontId="1" type="noConversion"/>
  </si>
  <si>
    <t>V</t>
    <phoneticPr fontId="1" type="noConversion"/>
  </si>
  <si>
    <t>Vcc_est</t>
    <phoneticPr fontId="1" type="noConversion"/>
  </si>
  <si>
    <t>RM04</t>
    <phoneticPr fontId="1" type="noConversion"/>
  </si>
  <si>
    <t>RM05</t>
    <phoneticPr fontId="1" type="noConversion"/>
  </si>
  <si>
    <t>RM06</t>
    <phoneticPr fontId="1" type="noConversion"/>
  </si>
  <si>
    <t>RM08</t>
    <phoneticPr fontId="1" type="noConversion"/>
  </si>
  <si>
    <t>ER25.5</t>
    <phoneticPr fontId="1" type="noConversion"/>
  </si>
  <si>
    <t>ER25/51</t>
    <phoneticPr fontId="1" type="noConversion"/>
  </si>
  <si>
    <t>ER28/28</t>
    <phoneticPr fontId="1" type="noConversion"/>
  </si>
  <si>
    <t>ER28/34</t>
    <phoneticPr fontId="1" type="noConversion"/>
  </si>
  <si>
    <t>ER30/16</t>
    <phoneticPr fontId="1" type="noConversion"/>
  </si>
  <si>
    <t>ER30/35</t>
    <phoneticPr fontId="1" type="noConversion"/>
  </si>
  <si>
    <t>EFD10</t>
    <phoneticPr fontId="1" type="noConversion"/>
  </si>
  <si>
    <t>EFD12</t>
    <phoneticPr fontId="1" type="noConversion"/>
  </si>
  <si>
    <t>EFD15</t>
    <phoneticPr fontId="1" type="noConversion"/>
  </si>
  <si>
    <t>EFD20</t>
    <phoneticPr fontId="1" type="noConversion"/>
  </si>
  <si>
    <t>EFD25</t>
    <phoneticPr fontId="1" type="noConversion"/>
  </si>
  <si>
    <t>EFD30</t>
    <phoneticPr fontId="1" type="noConversion"/>
  </si>
  <si>
    <t>EE16</t>
    <phoneticPr fontId="1" type="noConversion"/>
  </si>
  <si>
    <t>EE19</t>
    <phoneticPr fontId="1" type="noConversion"/>
  </si>
  <si>
    <t>EE19/16</t>
    <phoneticPr fontId="1" type="noConversion"/>
  </si>
  <si>
    <t>EE20/20/5</t>
    <phoneticPr fontId="1" type="noConversion"/>
  </si>
  <si>
    <t>EE22</t>
    <phoneticPr fontId="1" type="noConversion"/>
  </si>
  <si>
    <t>EE25/19</t>
    <phoneticPr fontId="1" type="noConversion"/>
  </si>
  <si>
    <t>EE25.4</t>
    <phoneticPr fontId="1" type="noConversion"/>
  </si>
  <si>
    <t>EE2825</t>
    <phoneticPr fontId="1" type="noConversion"/>
  </si>
  <si>
    <t>EE30</t>
    <phoneticPr fontId="1" type="noConversion"/>
  </si>
  <si>
    <t>EF16</t>
    <phoneticPr fontId="1" type="noConversion"/>
  </si>
  <si>
    <t>EF20</t>
    <phoneticPr fontId="1" type="noConversion"/>
  </si>
  <si>
    <t>EF25</t>
    <phoneticPr fontId="1" type="noConversion"/>
  </si>
  <si>
    <t>EF32</t>
    <phoneticPr fontId="1" type="noConversion"/>
  </si>
  <si>
    <t>OV &amp; UV引脚：</t>
    <phoneticPr fontId="1" type="noConversion"/>
  </si>
  <si>
    <t>R1</t>
    <phoneticPr fontId="1" type="noConversion"/>
  </si>
  <si>
    <t>R2</t>
    <phoneticPr fontId="1" type="noConversion"/>
  </si>
  <si>
    <t>R3</t>
    <phoneticPr fontId="1" type="noConversion"/>
  </si>
  <si>
    <t>UV</t>
    <phoneticPr fontId="1" type="noConversion"/>
  </si>
  <si>
    <t>OV</t>
    <phoneticPr fontId="1" type="noConversion"/>
  </si>
  <si>
    <t>KΩ</t>
    <phoneticPr fontId="1" type="noConversion"/>
  </si>
  <si>
    <t>Vac</t>
    <phoneticPr fontId="1" type="noConversion"/>
  </si>
  <si>
    <t>Over voltage</t>
    <phoneticPr fontId="1" type="noConversion"/>
  </si>
  <si>
    <t>Under voltage</t>
    <phoneticPr fontId="1" type="noConversion"/>
  </si>
  <si>
    <t>开启电压</t>
    <phoneticPr fontId="1" type="noConversion"/>
  </si>
  <si>
    <t>关断电压</t>
    <phoneticPr fontId="1" type="noConversion"/>
  </si>
  <si>
    <t>变压器设计（40V1A)</t>
    <phoneticPr fontId="1" type="noConversion"/>
  </si>
  <si>
    <t>OV电阻</t>
    <phoneticPr fontId="1" type="noConversion"/>
  </si>
  <si>
    <t>UV电阻</t>
    <phoneticPr fontId="1" type="noConversion"/>
  </si>
  <si>
    <t>需要3个串联</t>
    <phoneticPr fontId="1" type="noConversion"/>
  </si>
  <si>
    <t xml:space="preserve">PQ32/20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</si>
</sst>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0_ "/>
    <numFmt numFmtId="179" formatCode="0.0_ "/>
  </numFmts>
  <fonts count="2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돋움"/>
      <family val="2"/>
      <charset val="129"/>
    </font>
    <font>
      <b/>
      <sz val="10"/>
      <color theme="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indexed="17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vertAlign val="superscript"/>
      <sz val="10"/>
      <color theme="1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10"/>
      <color theme="1"/>
      <name val="Arial"/>
      <family val="2"/>
    </font>
    <font>
      <b/>
      <sz val="10"/>
      <color rgb="FFFF0000"/>
      <name val="等线"/>
      <family val="3"/>
      <charset val="134"/>
      <scheme val="minor"/>
    </font>
    <font>
      <sz val="10"/>
      <color theme="5"/>
      <name val="Arial"/>
      <family val="2"/>
    </font>
    <font>
      <sz val="9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6" borderId="0" xfId="0" applyFill="1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77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1" xfId="0" quotePrefix="1" applyFont="1" applyBorder="1">
      <alignment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5" xfId="0" quotePrefix="1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5" xfId="0" applyFont="1" applyBorder="1">
      <alignment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7" fontId="10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>
      <alignment vertical="center"/>
    </xf>
    <xf numFmtId="179" fontId="8" fillId="0" borderId="1" xfId="0" applyNumberFormat="1" applyFont="1" applyBorder="1" applyAlignment="1">
      <alignment horizontal="center" vertical="center"/>
    </xf>
    <xf numFmtId="178" fontId="6" fillId="7" borderId="1" xfId="0" applyNumberFormat="1" applyFont="1" applyFill="1" applyBorder="1" applyAlignment="1">
      <alignment horizontal="center" vertical="center"/>
    </xf>
    <xf numFmtId="179" fontId="6" fillId="7" borderId="10" xfId="0" applyNumberFormat="1" applyFont="1" applyFill="1" applyBorder="1" applyAlignment="1">
      <alignment horizontal="center" vertical="center"/>
    </xf>
    <xf numFmtId="0" fontId="9" fillId="2" borderId="21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6" fillId="0" borderId="19" xfId="0" applyFont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22" xfId="0" applyFont="1" applyFill="1" applyBorder="1">
      <alignment vertical="center"/>
    </xf>
    <xf numFmtId="177" fontId="9" fillId="2" borderId="15" xfId="0" applyNumberFormat="1" applyFont="1" applyFill="1" applyBorder="1" applyAlignment="1">
      <alignment horizontal="center" vertical="center"/>
    </xf>
    <xf numFmtId="0" fontId="15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13" borderId="0" xfId="0" applyFill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179" fontId="6" fillId="4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Normal_MPS Flyback Design" xfId="1" xr:uid="{00000000-0005-0000-0000-000000000000}"/>
    <cellStyle name="常规" xfId="0" builtinId="0"/>
  </cellStyles>
  <dxfs count="4">
    <dxf>
      <font>
        <b/>
        <i val="0"/>
        <color rgb="FFFF0000"/>
      </font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24</xdr:col>
          <xdr:colOff>114300</xdr:colOff>
          <xdr:row>20</xdr:row>
          <xdr:rowOff>91440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15</xdr:col>
      <xdr:colOff>189962</xdr:colOff>
      <xdr:row>6</xdr:row>
      <xdr:rowOff>28481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61950"/>
          <a:ext cx="4304762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__.vsd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X28"/>
  <sheetViews>
    <sheetView showGridLines="0" tabSelected="1" zoomScaleNormal="100" workbookViewId="0">
      <selection activeCell="H27" sqref="H27"/>
    </sheetView>
  </sheetViews>
  <sheetFormatPr defaultColWidth="9" defaultRowHeight="13.2" x14ac:dyDescent="0.25"/>
  <cols>
    <col min="1" max="1" width="13.6640625" style="6" customWidth="1"/>
    <col min="2" max="2" width="7.77734375" style="40" customWidth="1"/>
    <col min="3" max="3" width="6.77734375" style="23" bestFit="1" customWidth="1"/>
    <col min="4" max="4" width="3.77734375" style="6" customWidth="1"/>
    <col min="5" max="5" width="8.77734375" style="6" customWidth="1"/>
    <col min="6" max="6" width="1.21875" style="6" customWidth="1"/>
    <col min="7" max="7" width="14.109375" style="6" customWidth="1"/>
    <col min="8" max="8" width="8.21875" style="6" customWidth="1"/>
    <col min="9" max="9" width="6.44140625" style="41" customWidth="1"/>
    <col min="10" max="10" width="5.88671875" style="6" customWidth="1"/>
    <col min="11" max="11" width="6" style="23" customWidth="1"/>
    <col min="12" max="12" width="6.5546875" style="6" customWidth="1"/>
    <col min="13" max="13" width="1.33203125" style="6" customWidth="1"/>
    <col min="14" max="14" width="12" style="6" customWidth="1"/>
    <col min="15" max="15" width="11.109375" style="6" customWidth="1"/>
    <col min="16" max="16" width="6" style="6" customWidth="1"/>
    <col min="17" max="17" width="6.44140625" style="6" customWidth="1"/>
    <col min="18" max="18" width="14.88671875" style="6" customWidth="1"/>
    <col min="19" max="19" width="1.21875" style="6" customWidth="1"/>
    <col min="20" max="20" width="12.5546875" style="6" customWidth="1"/>
    <col min="21" max="21" width="8.33203125" style="6" customWidth="1"/>
    <col min="22" max="22" width="6" style="23" customWidth="1"/>
    <col min="23" max="23" width="3.44140625" style="6" bestFit="1" customWidth="1"/>
    <col min="24" max="24" width="14.88671875" style="6" customWidth="1"/>
    <col min="25" max="16384" width="9" style="6"/>
  </cols>
  <sheetData>
    <row r="1" spans="1:24" x14ac:dyDescent="0.25">
      <c r="A1" s="96" t="s">
        <v>21</v>
      </c>
      <c r="B1" s="97"/>
      <c r="C1" s="97"/>
      <c r="D1" s="97"/>
      <c r="E1" s="98"/>
      <c r="G1" s="96" t="s">
        <v>89</v>
      </c>
      <c r="H1" s="97"/>
      <c r="I1" s="97"/>
      <c r="J1" s="97"/>
      <c r="K1" s="97"/>
      <c r="L1" s="98"/>
      <c r="N1" s="105" t="s">
        <v>154</v>
      </c>
      <c r="O1" s="106"/>
      <c r="P1" s="106"/>
      <c r="Q1" s="106"/>
      <c r="R1" s="107"/>
      <c r="T1" s="105" t="s">
        <v>155</v>
      </c>
      <c r="U1" s="106"/>
      <c r="V1" s="106"/>
      <c r="W1" s="106"/>
      <c r="X1" s="107"/>
    </row>
    <row r="2" spans="1:24" ht="14.25" customHeight="1" x14ac:dyDescent="0.25">
      <c r="A2" s="7" t="s">
        <v>9</v>
      </c>
      <c r="B2" s="8" t="s">
        <v>0</v>
      </c>
      <c r="C2" s="9">
        <v>100</v>
      </c>
      <c r="D2" s="10" t="s">
        <v>8</v>
      </c>
      <c r="E2" s="11"/>
      <c r="G2" s="7" t="s">
        <v>33</v>
      </c>
      <c r="H2" s="10" t="s">
        <v>34</v>
      </c>
      <c r="I2" s="12">
        <f>(VDSS_BR-Vspike-Vac_max_pk)*Kmos/(Vo_max+VF)</f>
        <v>2.8546213345086162</v>
      </c>
      <c r="J2" s="99" t="s">
        <v>257</v>
      </c>
      <c r="K2" s="100"/>
      <c r="L2" s="101"/>
      <c r="N2" s="7" t="s">
        <v>117</v>
      </c>
      <c r="O2" s="10" t="s">
        <v>118</v>
      </c>
      <c r="P2" s="9">
        <v>0.3</v>
      </c>
      <c r="Q2" s="10" t="s">
        <v>119</v>
      </c>
      <c r="R2" s="11"/>
      <c r="T2" s="93" t="s">
        <v>221</v>
      </c>
      <c r="U2" s="94"/>
      <c r="V2" s="94"/>
      <c r="W2" s="94"/>
      <c r="X2" s="95"/>
    </row>
    <row r="3" spans="1:24" ht="15" x14ac:dyDescent="0.25">
      <c r="A3" s="7" t="s">
        <v>10</v>
      </c>
      <c r="B3" s="8" t="s">
        <v>1</v>
      </c>
      <c r="C3" s="9">
        <v>300</v>
      </c>
      <c r="D3" s="10" t="s">
        <v>8</v>
      </c>
      <c r="E3" s="11"/>
      <c r="G3" s="7" t="s">
        <v>35</v>
      </c>
      <c r="H3" s="10" t="s">
        <v>36</v>
      </c>
      <c r="I3" s="12">
        <f>Vac_max_pk/(Kdiode*VRRM-Vo_max-Vring)</f>
        <v>1.9551339571978272</v>
      </c>
      <c r="J3" s="99" t="s">
        <v>258</v>
      </c>
      <c r="K3" s="100"/>
      <c r="L3" s="101"/>
      <c r="N3" s="7" t="s">
        <v>121</v>
      </c>
      <c r="O3" s="10" t="s">
        <v>122</v>
      </c>
      <c r="P3" s="15">
        <f>Calculations!C28</f>
        <v>7101.9213156633996</v>
      </c>
      <c r="Q3" s="10" t="s">
        <v>251</v>
      </c>
      <c r="R3" s="11"/>
      <c r="T3" s="7" t="s">
        <v>104</v>
      </c>
      <c r="U3" s="10" t="s">
        <v>242</v>
      </c>
      <c r="V3" s="13">
        <f>VREF/Iout/2*Nps_real</f>
        <v>0.18164102564102563</v>
      </c>
      <c r="W3" s="10" t="s">
        <v>105</v>
      </c>
      <c r="X3" s="11"/>
    </row>
    <row r="4" spans="1:24" ht="15" x14ac:dyDescent="0.25">
      <c r="A4" s="7" t="s">
        <v>11</v>
      </c>
      <c r="B4" s="8" t="s">
        <v>12</v>
      </c>
      <c r="C4" s="9">
        <v>50</v>
      </c>
      <c r="D4" s="10" t="s">
        <v>6</v>
      </c>
      <c r="E4" s="11"/>
      <c r="G4" s="7" t="s">
        <v>41</v>
      </c>
      <c r="H4" s="10" t="s">
        <v>40</v>
      </c>
      <c r="I4" s="9">
        <v>2.2000000000000002</v>
      </c>
      <c r="J4" s="102" t="str">
        <f>IF(OR(K12&gt;VDSS_BR*Kmos,K13&gt;VRRM*Kdiode),"调整Nps以降低应力","")</f>
        <v/>
      </c>
      <c r="K4" s="103"/>
      <c r="L4" s="104"/>
      <c r="N4" s="7" t="s">
        <v>148</v>
      </c>
      <c r="O4" s="17" t="s">
        <v>345</v>
      </c>
      <c r="P4" s="45">
        <f>INDEX(Calculations!$Q:$Q,MATCH($O$4,Calculations!$L:$L,0))</f>
        <v>7293</v>
      </c>
      <c r="Q4" s="10" t="s">
        <v>251</v>
      </c>
      <c r="R4" s="43" t="str">
        <f>IF(P4&lt;=P3,"选择更大的磁芯！","")</f>
        <v/>
      </c>
      <c r="T4" s="7" t="s">
        <v>241</v>
      </c>
      <c r="U4" s="10" t="s">
        <v>243</v>
      </c>
      <c r="V4" s="9">
        <v>0.2</v>
      </c>
      <c r="W4" s="10" t="s">
        <v>105</v>
      </c>
      <c r="X4" s="11"/>
    </row>
    <row r="5" spans="1:24" ht="15.6" thickBot="1" x14ac:dyDescent="0.3">
      <c r="A5" s="18" t="s">
        <v>7</v>
      </c>
      <c r="B5" s="19" t="s">
        <v>13</v>
      </c>
      <c r="C5" s="9">
        <v>47</v>
      </c>
      <c r="D5" s="20" t="s">
        <v>6</v>
      </c>
      <c r="E5" s="21"/>
      <c r="G5" s="7" t="s">
        <v>53</v>
      </c>
      <c r="H5" s="10" t="s">
        <v>56</v>
      </c>
      <c r="I5" s="88">
        <f>1/2*F2kvmin/(1+Kv_acmin)*Vac_min_pk^2/Fsw_min/Pin_max*1000</f>
        <v>313.4476850367106</v>
      </c>
      <c r="J5" s="10" t="s">
        <v>55</v>
      </c>
      <c r="K5" s="108" t="s">
        <v>280</v>
      </c>
      <c r="L5" s="109"/>
      <c r="N5" s="55" t="s">
        <v>249</v>
      </c>
      <c r="O5" s="10" t="str">
        <f>"Ae_"&amp;O4</f>
        <v xml:space="preserve">Ae_PQ32/20  </v>
      </c>
      <c r="P5" s="86">
        <f>INDEX(Calculations!$N:$N,MATCH($O$4,Calculations!$L:$L,0))</f>
        <v>170</v>
      </c>
      <c r="Q5" s="10" t="s">
        <v>248</v>
      </c>
      <c r="R5" s="43"/>
      <c r="T5" s="7" t="s">
        <v>218</v>
      </c>
      <c r="U5" s="10" t="s">
        <v>219</v>
      </c>
      <c r="V5" s="60">
        <v>0.65</v>
      </c>
      <c r="W5" s="10" t="s">
        <v>220</v>
      </c>
      <c r="X5" s="11"/>
    </row>
    <row r="6" spans="1:24" ht="15" x14ac:dyDescent="0.25">
      <c r="A6" s="96" t="s">
        <v>22</v>
      </c>
      <c r="B6" s="97"/>
      <c r="C6" s="97"/>
      <c r="D6" s="97"/>
      <c r="E6" s="98"/>
      <c r="G6" s="7" t="s">
        <v>57</v>
      </c>
      <c r="H6" s="10" t="s">
        <v>54</v>
      </c>
      <c r="I6" s="9">
        <v>300</v>
      </c>
      <c r="J6" s="10" t="s">
        <v>55</v>
      </c>
      <c r="K6" s="108"/>
      <c r="L6" s="109"/>
      <c r="N6" s="7" t="s">
        <v>150</v>
      </c>
      <c r="O6" s="10" t="str">
        <f>"Aw_"&amp;O4</f>
        <v xml:space="preserve">Aw_PQ32/20  </v>
      </c>
      <c r="P6" s="49">
        <f>INDEX(Calculations!$P:$P,MATCH($O$4,Calculations!$L:$L,0))</f>
        <v>42.9</v>
      </c>
      <c r="Q6" s="10" t="s">
        <v>248</v>
      </c>
      <c r="R6" s="11"/>
      <c r="T6" s="93" t="s">
        <v>222</v>
      </c>
      <c r="U6" s="94"/>
      <c r="V6" s="94"/>
      <c r="W6" s="94"/>
      <c r="X6" s="95"/>
    </row>
    <row r="7" spans="1:24" ht="15" x14ac:dyDescent="0.25">
      <c r="A7" s="7" t="s">
        <v>16</v>
      </c>
      <c r="B7" s="8" t="s">
        <v>51</v>
      </c>
      <c r="C7" s="9">
        <v>1.5</v>
      </c>
      <c r="D7" s="10" t="s">
        <v>5</v>
      </c>
      <c r="E7" s="11"/>
      <c r="G7" s="7" t="s">
        <v>62</v>
      </c>
      <c r="H7" s="10" t="s">
        <v>67</v>
      </c>
      <c r="I7" s="22">
        <f>MAX(F5kvmin*Iout/(PI()*F2kvmin*Fac_min*Vo_pkpk)*10^6,Iout*1000*0.8)</f>
        <v>1435.233043812719</v>
      </c>
      <c r="J7" s="10" t="s">
        <v>63</v>
      </c>
      <c r="K7" s="99" t="s">
        <v>279</v>
      </c>
      <c r="L7" s="101"/>
      <c r="N7" s="7" t="s">
        <v>250</v>
      </c>
      <c r="O7" s="10" t="s">
        <v>149</v>
      </c>
      <c r="P7" s="9">
        <f>INDEX(Calculations!$N:$N,MATCH($O$4,Calculations!$L:$L,0))</f>
        <v>170</v>
      </c>
      <c r="Q7" s="10" t="s">
        <v>248</v>
      </c>
      <c r="R7" s="11"/>
      <c r="T7" s="7" t="s">
        <v>194</v>
      </c>
      <c r="U7" s="10" t="s">
        <v>199</v>
      </c>
      <c r="V7" s="16">
        <f>SQRT(2)*Vac_max*Naux/Np/Ifb*10^3</f>
        <v>144.30750636460155</v>
      </c>
      <c r="W7" s="10" t="s">
        <v>110</v>
      </c>
      <c r="X7" s="36" t="s">
        <v>261</v>
      </c>
    </row>
    <row r="8" spans="1:24" x14ac:dyDescent="0.25">
      <c r="A8" s="7" t="s">
        <v>17</v>
      </c>
      <c r="B8" s="8" t="s">
        <v>2</v>
      </c>
      <c r="C8" s="9">
        <v>36</v>
      </c>
      <c r="D8" s="10" t="s">
        <v>14</v>
      </c>
      <c r="E8" s="11"/>
      <c r="G8" s="7" t="s">
        <v>83</v>
      </c>
      <c r="H8" s="10" t="s">
        <v>66</v>
      </c>
      <c r="I8" s="9">
        <v>1400</v>
      </c>
      <c r="J8" s="10" t="s">
        <v>63</v>
      </c>
      <c r="K8" s="108"/>
      <c r="L8" s="109"/>
      <c r="N8" s="7" t="s">
        <v>235</v>
      </c>
      <c r="O8" s="10" t="s">
        <v>153</v>
      </c>
      <c r="P8" s="59">
        <f>Lp*Ip_pk_max_low/Bmax/Ae</f>
        <v>28.364193194871341</v>
      </c>
      <c r="Q8" s="14" t="s">
        <v>152</v>
      </c>
      <c r="R8" s="11" t="s">
        <v>169</v>
      </c>
      <c r="T8" s="7" t="s">
        <v>198</v>
      </c>
      <c r="U8" s="10" t="s">
        <v>200</v>
      </c>
      <c r="V8" s="9">
        <v>150</v>
      </c>
      <c r="W8" s="10" t="s">
        <v>110</v>
      </c>
      <c r="X8" s="11"/>
    </row>
    <row r="9" spans="1:24" ht="13.8" thickBot="1" x14ac:dyDescent="0.3">
      <c r="A9" s="7" t="s">
        <v>18</v>
      </c>
      <c r="B9" s="8" t="s">
        <v>3</v>
      </c>
      <c r="C9" s="9">
        <v>48</v>
      </c>
      <c r="D9" s="10" t="s">
        <v>14</v>
      </c>
      <c r="E9" s="11"/>
      <c r="G9" s="18" t="s">
        <v>238</v>
      </c>
      <c r="H9" s="20" t="s">
        <v>84</v>
      </c>
      <c r="I9" s="9">
        <v>220</v>
      </c>
      <c r="J9" s="20" t="s">
        <v>85</v>
      </c>
      <c r="K9" s="110" t="str">
        <f>"推荐约"&amp;8*Iout*Vo_max&amp;"nF"</f>
        <v>推荐约576nF</v>
      </c>
      <c r="L9" s="111"/>
      <c r="N9" s="7" t="s">
        <v>236</v>
      </c>
      <c r="O9" s="10" t="s">
        <v>151</v>
      </c>
      <c r="P9" s="9">
        <v>28</v>
      </c>
      <c r="Q9" s="14" t="s">
        <v>152</v>
      </c>
      <c r="R9" s="11" t="str">
        <f>IF(P9&lt;P8,"B值会大于Bmax","")</f>
        <v>B值会大于Bmax</v>
      </c>
      <c r="T9" s="7" t="s">
        <v>205</v>
      </c>
      <c r="U9" s="10" t="s">
        <v>203</v>
      </c>
      <c r="V9" s="16">
        <f>VFB_OVP/(Naux/Ns*Vo_ovp-VFB_OVP)*V8</f>
        <v>32.926829268292686</v>
      </c>
      <c r="W9" s="10" t="s">
        <v>110</v>
      </c>
      <c r="X9" s="11"/>
    </row>
    <row r="10" spans="1:24" ht="13.8" thickBot="1" x14ac:dyDescent="0.3">
      <c r="A10" s="7" t="s">
        <v>19</v>
      </c>
      <c r="B10" s="8" t="s">
        <v>20</v>
      </c>
      <c r="C10" s="9">
        <v>65</v>
      </c>
      <c r="D10" s="10" t="s">
        <v>4</v>
      </c>
      <c r="E10" s="89" t="str">
        <f>IF(Vo_ovp&lt;1.2*Vo_max,"适当取大！","")</f>
        <v/>
      </c>
      <c r="G10" s="96" t="s">
        <v>96</v>
      </c>
      <c r="H10" s="97"/>
      <c r="I10" s="97"/>
      <c r="J10" s="97"/>
      <c r="K10" s="97"/>
      <c r="L10" s="98"/>
      <c r="N10" s="7" t="s">
        <v>237</v>
      </c>
      <c r="O10" s="10" t="s">
        <v>170</v>
      </c>
      <c r="P10" s="59">
        <f>P9/Nps</f>
        <v>12.727272727272727</v>
      </c>
      <c r="Q10" s="14" t="s">
        <v>152</v>
      </c>
      <c r="R10" s="11" t="s">
        <v>259</v>
      </c>
      <c r="T10" s="7" t="s">
        <v>201</v>
      </c>
      <c r="U10" s="26" t="s">
        <v>206</v>
      </c>
      <c r="V10" s="9">
        <v>30</v>
      </c>
      <c r="W10" s="10" t="s">
        <v>110</v>
      </c>
      <c r="X10" s="42"/>
    </row>
    <row r="11" spans="1:24" ht="13.8" thickBot="1" x14ac:dyDescent="0.3">
      <c r="A11" s="24" t="s">
        <v>181</v>
      </c>
      <c r="B11" s="25" t="s">
        <v>15</v>
      </c>
      <c r="C11" s="9">
        <v>3</v>
      </c>
      <c r="D11" s="26" t="s">
        <v>4</v>
      </c>
      <c r="E11" s="27" t="s">
        <v>182</v>
      </c>
      <c r="G11" s="28" t="s">
        <v>74</v>
      </c>
      <c r="H11" s="62" t="s">
        <v>73</v>
      </c>
      <c r="I11" s="67">
        <f>Vac_min</f>
        <v>100</v>
      </c>
      <c r="J11" s="50">
        <f>Vac_mid</f>
        <v>220</v>
      </c>
      <c r="K11" s="50">
        <f>Vac_max</f>
        <v>300</v>
      </c>
      <c r="L11" s="29" t="s">
        <v>4</v>
      </c>
      <c r="N11" s="7" t="s">
        <v>237</v>
      </c>
      <c r="O11" s="10" t="s">
        <v>171</v>
      </c>
      <c r="P11" s="9">
        <v>13</v>
      </c>
      <c r="Q11" s="14" t="s">
        <v>152</v>
      </c>
      <c r="R11" s="11"/>
      <c r="T11" s="7" t="s">
        <v>211</v>
      </c>
      <c r="U11" s="26" t="s">
        <v>207</v>
      </c>
      <c r="V11" s="61">
        <f>FB_OVP*(1+Rup/Rdown)/Naux*Ns</f>
        <v>70.2</v>
      </c>
      <c r="W11" s="26" t="s">
        <v>230</v>
      </c>
      <c r="X11" s="42"/>
    </row>
    <row r="12" spans="1:24" x14ac:dyDescent="0.25">
      <c r="A12" s="96" t="s">
        <v>95</v>
      </c>
      <c r="B12" s="97"/>
      <c r="C12" s="97"/>
      <c r="D12" s="97"/>
      <c r="E12" s="98"/>
      <c r="G12" s="30" t="s">
        <v>185</v>
      </c>
      <c r="H12" s="63" t="s">
        <v>90</v>
      </c>
      <c r="I12" s="53">
        <f>Vac_min_pk+Vspike+Nps*(VF+Vo_max)</f>
        <v>328.1213562373095</v>
      </c>
      <c r="J12" s="53">
        <f>Vac_mid_pk+Vspike+Nps*(VF+Vo_max)</f>
        <v>497.82698372208091</v>
      </c>
      <c r="K12" s="51">
        <f>Vac_max_pk+Vspike+Nps*(VF+Vo_max)</f>
        <v>610.96406871192858</v>
      </c>
      <c r="L12" s="31" t="s">
        <v>4</v>
      </c>
      <c r="N12" s="7" t="s">
        <v>204</v>
      </c>
      <c r="O12" s="26" t="s">
        <v>240</v>
      </c>
      <c r="P12" s="16">
        <f>P9/P11</f>
        <v>2.1538461538461537</v>
      </c>
      <c r="Q12" s="26"/>
      <c r="R12" s="42"/>
      <c r="T12" s="7" t="s">
        <v>262</v>
      </c>
      <c r="U12" s="10" t="s">
        <v>213</v>
      </c>
      <c r="V12" s="16">
        <f>(FB_Openloop*Rup/Rdown+0.4)/Naux*Ns</f>
        <v>12.674999999999999</v>
      </c>
      <c r="W12" s="10" t="s">
        <v>195</v>
      </c>
      <c r="X12" s="11" t="s">
        <v>278</v>
      </c>
    </row>
    <row r="13" spans="1:24" x14ac:dyDescent="0.25">
      <c r="A13" s="7" t="s">
        <v>276</v>
      </c>
      <c r="B13" s="56" t="s">
        <v>256</v>
      </c>
      <c r="C13" s="9">
        <v>0.88</v>
      </c>
      <c r="D13" s="10"/>
      <c r="E13" s="11"/>
      <c r="G13" s="30" t="s">
        <v>180</v>
      </c>
      <c r="H13" s="63" t="s">
        <v>91</v>
      </c>
      <c r="I13" s="53">
        <f>Vac_min_pk/Nps+Vo_max+Vring</f>
        <v>132.2824346533225</v>
      </c>
      <c r="J13" s="53">
        <f>Vac_mid_pk/Nps+Vo_max+Vring</f>
        <v>209.42135623730951</v>
      </c>
      <c r="K13" s="51">
        <f>Vac_max_pk/Nps+Vo_max+Vring</f>
        <v>260.84730395996746</v>
      </c>
      <c r="L13" s="31" t="s">
        <v>4</v>
      </c>
      <c r="N13" s="7" t="s">
        <v>297</v>
      </c>
      <c r="O13" s="26" t="s">
        <v>299</v>
      </c>
      <c r="P13" s="9">
        <v>15</v>
      </c>
      <c r="Q13" s="26" t="s">
        <v>298</v>
      </c>
      <c r="R13" s="42"/>
      <c r="T13" s="7" t="s">
        <v>212</v>
      </c>
      <c r="U13" s="10" t="s">
        <v>214</v>
      </c>
      <c r="V13" s="16">
        <f>(FB_ZCD*Rup/Rdown+0.4)/Naux*Ns</f>
        <v>9.4249999999999989</v>
      </c>
      <c r="W13" s="10" t="s">
        <v>210</v>
      </c>
      <c r="X13" s="11"/>
    </row>
    <row r="14" spans="1:24" x14ac:dyDescent="0.25">
      <c r="A14" s="7" t="s">
        <v>183</v>
      </c>
      <c r="B14" s="8" t="s">
        <v>24</v>
      </c>
      <c r="C14" s="9">
        <v>40</v>
      </c>
      <c r="D14" s="10" t="s">
        <v>23</v>
      </c>
      <c r="E14" s="33" t="s">
        <v>184</v>
      </c>
      <c r="G14" s="7" t="s">
        <v>68</v>
      </c>
      <c r="H14" s="64" t="s">
        <v>99</v>
      </c>
      <c r="I14" s="52">
        <f>2*Pin_max/(Vac_min_pk*F2kvmin)</f>
        <v>4.8219128431281275</v>
      </c>
      <c r="J14" s="54">
        <f>2*Pin_max/(Vac_mid_pk*F2kvmid)</f>
        <v>3.5484476320452907</v>
      </c>
      <c r="K14" s="32">
        <f>2*Pin_max/(Vac_max_pk*F2kvmax)</f>
        <v>3.2605364978581521</v>
      </c>
      <c r="L14" s="83" t="s">
        <v>5</v>
      </c>
      <c r="N14" s="7" t="s">
        <v>252</v>
      </c>
      <c r="O14" s="26" t="s">
        <v>227</v>
      </c>
      <c r="P14" s="59">
        <f>P13/Vo_max*P11</f>
        <v>4.0625</v>
      </c>
      <c r="Q14" s="14" t="s">
        <v>152</v>
      </c>
      <c r="R14" s="42"/>
      <c r="T14" s="93" t="s">
        <v>223</v>
      </c>
      <c r="U14" s="94"/>
      <c r="V14" s="94"/>
      <c r="W14" s="94"/>
      <c r="X14" s="95"/>
    </row>
    <row r="15" spans="1:24" ht="26.4" x14ac:dyDescent="0.25">
      <c r="A15" s="7" t="s">
        <v>178</v>
      </c>
      <c r="B15" s="8" t="s">
        <v>32</v>
      </c>
      <c r="C15" s="9">
        <v>80</v>
      </c>
      <c r="D15" s="10" t="s">
        <v>4</v>
      </c>
      <c r="E15" s="34" t="s">
        <v>92</v>
      </c>
      <c r="G15" s="7" t="s">
        <v>69</v>
      </c>
      <c r="H15" s="64" t="s">
        <v>59</v>
      </c>
      <c r="I15" s="52">
        <f>I14*SQRT(F2kvmin/3)</f>
        <v>1.3637396318412112</v>
      </c>
      <c r="J15" s="54">
        <f>I14*SQRT(F2kvmid/3)</f>
        <v>1.0717922177101167</v>
      </c>
      <c r="K15" s="32">
        <f>K14*SQRT(F2kvmax/3)</f>
        <v>0.64744918620435321</v>
      </c>
      <c r="L15" s="83" t="s">
        <v>5</v>
      </c>
      <c r="N15" s="7" t="s">
        <v>252</v>
      </c>
      <c r="O15" s="26" t="s">
        <v>228</v>
      </c>
      <c r="P15" s="9">
        <v>4</v>
      </c>
      <c r="Q15" s="26" t="s">
        <v>229</v>
      </c>
      <c r="R15" s="42"/>
      <c r="T15" s="7" t="s">
        <v>294</v>
      </c>
      <c r="U15" s="10" t="s">
        <v>286</v>
      </c>
      <c r="V15" s="9">
        <v>100</v>
      </c>
      <c r="W15" s="10" t="s">
        <v>287</v>
      </c>
      <c r="X15" s="11" t="str">
        <f>"@"&amp;Vac_min&amp;"V"</f>
        <v>@100V</v>
      </c>
    </row>
    <row r="16" spans="1:24" ht="15" x14ac:dyDescent="0.25">
      <c r="A16" s="7" t="s">
        <v>254</v>
      </c>
      <c r="B16" s="8" t="s">
        <v>37</v>
      </c>
      <c r="C16" s="9">
        <v>0.5</v>
      </c>
      <c r="D16" s="10" t="s">
        <v>4</v>
      </c>
      <c r="E16" s="11"/>
      <c r="G16" s="7" t="s">
        <v>70</v>
      </c>
      <c r="H16" s="64" t="s">
        <v>60</v>
      </c>
      <c r="I16" s="52">
        <f>2*Iout/(Kv_acmin*F2kvmin)</f>
        <v>9.3352232642960562</v>
      </c>
      <c r="J16" s="54">
        <f>2*Iout/(Kv_acmid*F2kvmid)</f>
        <v>6.8697946156396847</v>
      </c>
      <c r="K16" s="32">
        <f>2*Iout/(Kv_acmax*F2kvmax)</f>
        <v>6.3123986598533834</v>
      </c>
      <c r="L16" s="83" t="s">
        <v>5</v>
      </c>
      <c r="N16" s="35" t="s">
        <v>156</v>
      </c>
      <c r="O16" s="14" t="s">
        <v>157</v>
      </c>
      <c r="P16" s="9">
        <v>10</v>
      </c>
      <c r="Q16" s="14" t="s">
        <v>188</v>
      </c>
      <c r="R16" s="11"/>
      <c r="T16" s="7" t="s">
        <v>281</v>
      </c>
      <c r="U16" s="10" t="s">
        <v>282</v>
      </c>
      <c r="V16" s="82">
        <f>Ivcc_charge*Tdelay_est/Vcc_on</f>
        <v>7.5</v>
      </c>
      <c r="W16" s="10" t="s">
        <v>283</v>
      </c>
      <c r="X16" s="11"/>
    </row>
    <row r="17" spans="1:24" ht="15.6" thickBot="1" x14ac:dyDescent="0.3">
      <c r="A17" s="18" t="s">
        <v>179</v>
      </c>
      <c r="B17" s="19" t="s">
        <v>31</v>
      </c>
      <c r="C17" s="9">
        <v>20</v>
      </c>
      <c r="D17" s="20" t="s">
        <v>4</v>
      </c>
      <c r="E17" s="21" t="s">
        <v>93</v>
      </c>
      <c r="G17" s="7" t="s">
        <v>71</v>
      </c>
      <c r="H17" s="64" t="s">
        <v>61</v>
      </c>
      <c r="I17" s="52">
        <f>I16*SQRT(Kv_acmin*F3kvmin/3)</f>
        <v>2.7694876248073204</v>
      </c>
      <c r="J17" s="54">
        <f>J16*SQRT(Kv_acmid*F3kvmid/3)</f>
        <v>2.3609053906890658</v>
      </c>
      <c r="K17" s="32">
        <f>K16*SQRT(Kv_acmax*F3kvmax/3)</f>
        <v>2.2576083461281984</v>
      </c>
      <c r="L17" s="83" t="s">
        <v>72</v>
      </c>
      <c r="N17" s="7" t="s">
        <v>187</v>
      </c>
      <c r="O17" s="14" t="s">
        <v>158</v>
      </c>
      <c r="P17" s="32">
        <f>Ip_rms_low/P16</f>
        <v>0.13637396318412112</v>
      </c>
      <c r="Q17" s="10" t="s">
        <v>248</v>
      </c>
      <c r="R17" s="11"/>
      <c r="T17" s="7" t="s">
        <v>284</v>
      </c>
      <c r="U17" s="10" t="s">
        <v>285</v>
      </c>
      <c r="V17" s="9">
        <v>10</v>
      </c>
      <c r="W17" s="10" t="s">
        <v>283</v>
      </c>
      <c r="X17" s="11"/>
    </row>
    <row r="18" spans="1:24" ht="15" x14ac:dyDescent="0.25">
      <c r="A18" s="96" t="s">
        <v>94</v>
      </c>
      <c r="B18" s="97"/>
      <c r="C18" s="97"/>
      <c r="D18" s="97"/>
      <c r="E18" s="98"/>
      <c r="G18" s="35" t="s">
        <v>75</v>
      </c>
      <c r="H18" s="65" t="s">
        <v>76</v>
      </c>
      <c r="I18" s="52">
        <f>SQRT(I17^2-Iout^2)</f>
        <v>2.3281025973871712</v>
      </c>
      <c r="J18" s="54">
        <f>SQRT(J17^2-Iout^2)</f>
        <v>1.8231495450962574</v>
      </c>
      <c r="K18" s="32">
        <f>SQRT(K17^2-Iout^2)</f>
        <v>1.6872449272431371</v>
      </c>
      <c r="L18" s="83" t="s">
        <v>5</v>
      </c>
      <c r="N18" s="7" t="s">
        <v>186</v>
      </c>
      <c r="O18" s="14" t="s">
        <v>159</v>
      </c>
      <c r="P18" s="32">
        <f>Is_rms_low/P16</f>
        <v>0.27694876248073202</v>
      </c>
      <c r="Q18" s="10" t="s">
        <v>248</v>
      </c>
      <c r="R18" s="11"/>
      <c r="T18" s="7" t="s">
        <v>288</v>
      </c>
      <c r="U18" s="10" t="s">
        <v>289</v>
      </c>
      <c r="V18" s="9">
        <v>100</v>
      </c>
      <c r="W18" s="10" t="s">
        <v>290</v>
      </c>
      <c r="X18" s="11"/>
    </row>
    <row r="19" spans="1:24" x14ac:dyDescent="0.25">
      <c r="A19" s="7" t="s">
        <v>175</v>
      </c>
      <c r="B19" s="8" t="s">
        <v>255</v>
      </c>
      <c r="C19" s="9">
        <v>650</v>
      </c>
      <c r="D19" s="10" t="s">
        <v>4</v>
      </c>
      <c r="E19" s="11"/>
      <c r="G19" s="35" t="s">
        <v>79</v>
      </c>
      <c r="H19" s="65" t="s">
        <v>78</v>
      </c>
      <c r="I19" s="52">
        <f>I14*I6/Vac_min_pk</f>
        <v>10.228821808999212</v>
      </c>
      <c r="J19" s="54">
        <f>J14*I6/Vac_mid_pk</f>
        <v>3.4215427954153252</v>
      </c>
      <c r="K19" s="32">
        <f>K14*I6/Vac_max_pk</f>
        <v>2.3055474679417363</v>
      </c>
      <c r="L19" s="37" t="s">
        <v>82</v>
      </c>
      <c r="N19" s="7" t="s">
        <v>166</v>
      </c>
      <c r="O19" s="14" t="s">
        <v>160</v>
      </c>
      <c r="P19" s="9">
        <v>1</v>
      </c>
      <c r="Q19" s="10"/>
      <c r="R19" s="11"/>
      <c r="T19" s="7" t="s">
        <v>291</v>
      </c>
      <c r="U19" s="10" t="s">
        <v>292</v>
      </c>
      <c r="V19" s="16">
        <f>-LN((Vcc_off+Rvcc*Ivcc_discharge/1000)/(Vcc_max+Rvcc*Ivcc_discharge/1000))*Rvcc*Cvcc</f>
        <v>879.7331361403576</v>
      </c>
      <c r="W19" s="10" t="s">
        <v>287</v>
      </c>
      <c r="X19" s="11" t="s">
        <v>293</v>
      </c>
    </row>
    <row r="20" spans="1:24" x14ac:dyDescent="0.25">
      <c r="A20" s="7" t="s">
        <v>176</v>
      </c>
      <c r="B20" s="8" t="s">
        <v>38</v>
      </c>
      <c r="C20" s="9">
        <v>0.95</v>
      </c>
      <c r="D20" s="10"/>
      <c r="E20" s="11"/>
      <c r="G20" s="35" t="s">
        <v>80</v>
      </c>
      <c r="H20" s="65" t="s">
        <v>81</v>
      </c>
      <c r="I20" s="52">
        <f>I14*I6/(Nps*(Vo_max+VF))</f>
        <v>13.557393185927255</v>
      </c>
      <c r="J20" s="54">
        <f>J14*I6/(Nps*(Vo_max+VF))</f>
        <v>9.9768911866315566</v>
      </c>
      <c r="K20" s="32">
        <f>K14*I6/(Nps*(Vo_max+VF))</f>
        <v>9.1673940895730599</v>
      </c>
      <c r="L20" s="37" t="s">
        <v>82</v>
      </c>
      <c r="N20" s="7" t="s">
        <v>167</v>
      </c>
      <c r="O20" s="14" t="s">
        <v>165</v>
      </c>
      <c r="P20" s="9">
        <v>1</v>
      </c>
      <c r="Q20" s="10"/>
      <c r="R20" s="11"/>
      <c r="T20" s="93" t="s">
        <v>264</v>
      </c>
      <c r="U20" s="94"/>
      <c r="V20" s="94"/>
      <c r="W20" s="94"/>
      <c r="X20" s="95"/>
    </row>
    <row r="21" spans="1:24" x14ac:dyDescent="0.25">
      <c r="A21" s="7" t="s">
        <v>177</v>
      </c>
      <c r="B21" s="8" t="s">
        <v>30</v>
      </c>
      <c r="C21" s="9">
        <v>300</v>
      </c>
      <c r="D21" s="10" t="s">
        <v>4</v>
      </c>
      <c r="E21" s="11"/>
      <c r="G21" s="35" t="s">
        <v>232</v>
      </c>
      <c r="H21" s="65" t="s">
        <v>233</v>
      </c>
      <c r="I21" s="91">
        <f>1/(I19+I20)*1000</f>
        <v>42.041157040466388</v>
      </c>
      <c r="J21" s="92">
        <f>1/(J19+J20)*1000</f>
        <v>74.635588109770254</v>
      </c>
      <c r="K21" s="91">
        <f>1/(K19+K20)*1000</f>
        <v>87.161604980459288</v>
      </c>
      <c r="L21" s="37" t="s">
        <v>234</v>
      </c>
      <c r="N21" s="7" t="s">
        <v>162</v>
      </c>
      <c r="O21" s="14" t="s">
        <v>161</v>
      </c>
      <c r="P21" s="32">
        <f>SQRT(P17/P19/PI())*2</f>
        <v>0.4166973995578569</v>
      </c>
      <c r="Q21" s="14" t="s">
        <v>168</v>
      </c>
      <c r="R21" s="11" t="str">
        <f>IF(P21&gt;P23,"增加股数","")</f>
        <v>增加股数</v>
      </c>
      <c r="T21" s="7" t="s">
        <v>266</v>
      </c>
      <c r="U21" s="10" t="s">
        <v>265</v>
      </c>
      <c r="V21" s="23">
        <v>1</v>
      </c>
      <c r="W21" s="10" t="s">
        <v>231</v>
      </c>
      <c r="X21" s="11" t="s">
        <v>295</v>
      </c>
    </row>
    <row r="22" spans="1:24" ht="13.8" thickBot="1" x14ac:dyDescent="0.3">
      <c r="A22" s="18" t="s">
        <v>253</v>
      </c>
      <c r="B22" s="19" t="s">
        <v>39</v>
      </c>
      <c r="C22" s="38">
        <v>0.95</v>
      </c>
      <c r="D22" s="20"/>
      <c r="E22" s="21"/>
      <c r="G22" s="39" t="s">
        <v>239</v>
      </c>
      <c r="H22" s="66" t="s">
        <v>77</v>
      </c>
      <c r="I22" s="44">
        <f>(1-8.1/1000*Kv_acmin+3.4*10^(-4)*Kv_acmin^2)*cos_min</f>
        <v>0.98969150990425803</v>
      </c>
      <c r="J22" s="84">
        <f>(1-8.1/1000*Kv_acmid+3.4*10^(-4)*Kv_acmid^2)*cos_mid</f>
        <v>0.97874855815542827</v>
      </c>
      <c r="K22" s="85">
        <f>(1-8.1/1000*Kv_acmax+3.4*10^(-4)*Kv_acmax^2)*cos_max</f>
        <v>0.96736977263264634</v>
      </c>
      <c r="L22" s="21"/>
      <c r="N22" s="7" t="s">
        <v>164</v>
      </c>
      <c r="O22" s="14" t="s">
        <v>163</v>
      </c>
      <c r="P22" s="32">
        <f>SQRT(P18/P20/PI())*2</f>
        <v>0.59381993588623649</v>
      </c>
      <c r="Q22" s="14" t="s">
        <v>168</v>
      </c>
      <c r="R22" s="11"/>
      <c r="T22" s="93" t="s">
        <v>329</v>
      </c>
      <c r="U22" s="94"/>
      <c r="V22" s="94"/>
      <c r="W22" s="94"/>
      <c r="X22" s="95"/>
    </row>
    <row r="23" spans="1:24" ht="13.8" thickBot="1" x14ac:dyDescent="0.3">
      <c r="N23" s="46" t="s">
        <v>172</v>
      </c>
      <c r="O23" s="47" t="s">
        <v>173</v>
      </c>
      <c r="P23" s="48">
        <f>6.62/SQRT(Fsw_min*10^3)*10</f>
        <v>0.33099999999999996</v>
      </c>
      <c r="Q23" s="26" t="s">
        <v>174</v>
      </c>
      <c r="R23" s="42"/>
      <c r="T23" s="18"/>
      <c r="U23" s="20" t="s">
        <v>330</v>
      </c>
      <c r="V23" s="9">
        <v>990</v>
      </c>
      <c r="W23" s="20" t="s">
        <v>335</v>
      </c>
      <c r="X23" s="21" t="s">
        <v>344</v>
      </c>
    </row>
    <row r="24" spans="1:24" ht="13.8" thickBot="1" x14ac:dyDescent="0.3">
      <c r="A24" s="57"/>
      <c r="B24" s="40" t="s">
        <v>260</v>
      </c>
      <c r="N24" s="18" t="s">
        <v>224</v>
      </c>
      <c r="O24" s="20" t="s">
        <v>226</v>
      </c>
      <c r="P24" s="44">
        <f>4*PI()*10^(-7)*Np^2*Ae/Lp*1000</f>
        <v>0.55828195849393014</v>
      </c>
      <c r="Q24" s="20" t="s">
        <v>225</v>
      </c>
      <c r="R24" s="58" t="str">
        <f>IF(P24&lt;0.25,"增加圈数！","")</f>
        <v/>
      </c>
      <c r="T24" s="18" t="s">
        <v>342</v>
      </c>
      <c r="U24" s="20" t="s">
        <v>331</v>
      </c>
      <c r="V24" s="9">
        <v>3</v>
      </c>
      <c r="W24" s="20" t="s">
        <v>335</v>
      </c>
      <c r="X24" s="21"/>
    </row>
    <row r="25" spans="1:24" ht="13.8" thickBot="1" x14ac:dyDescent="0.3">
      <c r="T25" s="18" t="s">
        <v>343</v>
      </c>
      <c r="U25" s="20" t="s">
        <v>332</v>
      </c>
      <c r="V25" s="9">
        <v>4.7</v>
      </c>
      <c r="W25" s="20" t="s">
        <v>335</v>
      </c>
      <c r="X25" s="21"/>
    </row>
    <row r="26" spans="1:24" ht="13.8" thickBot="1" x14ac:dyDescent="0.3">
      <c r="H26" s="41"/>
      <c r="T26" s="18" t="s">
        <v>338</v>
      </c>
      <c r="U26" s="20" t="s">
        <v>333</v>
      </c>
      <c r="V26" s="90">
        <f>(0.7*(V23+V24+V25)/(V25))/SQRT(2)</f>
        <v>105.07155423678147</v>
      </c>
      <c r="W26" s="20" t="s">
        <v>336</v>
      </c>
      <c r="X26" s="21" t="s">
        <v>339</v>
      </c>
    </row>
    <row r="27" spans="1:24" ht="13.8" thickBot="1" x14ac:dyDescent="0.3">
      <c r="K27" s="6"/>
      <c r="L27" s="23"/>
      <c r="T27" s="18" t="s">
        <v>337</v>
      </c>
      <c r="U27" s="20" t="s">
        <v>334</v>
      </c>
      <c r="V27" s="90">
        <f>(3.3*(V23+V24+V25)/(V25+V24))/SQRT(2)</f>
        <v>302.34875810992213</v>
      </c>
      <c r="W27" s="20" t="s">
        <v>336</v>
      </c>
      <c r="X27" s="21" t="s">
        <v>340</v>
      </c>
    </row>
    <row r="28" spans="1:24" x14ac:dyDescent="0.25">
      <c r="K28" s="6"/>
      <c r="L28" s="23"/>
    </row>
  </sheetData>
  <sheetProtection selectLockedCells="1"/>
  <mergeCells count="21">
    <mergeCell ref="G1:L1"/>
    <mergeCell ref="N1:R1"/>
    <mergeCell ref="T1:X1"/>
    <mergeCell ref="A12:E12"/>
    <mergeCell ref="K5:L5"/>
    <mergeCell ref="K6:L6"/>
    <mergeCell ref="K7:L7"/>
    <mergeCell ref="K8:L8"/>
    <mergeCell ref="K9:L9"/>
    <mergeCell ref="A1:E1"/>
    <mergeCell ref="A6:E6"/>
    <mergeCell ref="A18:E18"/>
    <mergeCell ref="G10:L10"/>
    <mergeCell ref="J2:L2"/>
    <mergeCell ref="J3:L3"/>
    <mergeCell ref="J4:L4"/>
    <mergeCell ref="T22:X22"/>
    <mergeCell ref="T20:X20"/>
    <mergeCell ref="T14:X14"/>
    <mergeCell ref="T2:X2"/>
    <mergeCell ref="T6:X6"/>
  </mergeCells>
  <phoneticPr fontId="1" type="noConversion"/>
  <conditionalFormatting sqref="P4">
    <cfRule type="cellIs" dxfId="3" priority="7" operator="lessThan">
      <formula>$P$3</formula>
    </cfRule>
  </conditionalFormatting>
  <conditionalFormatting sqref="R4:R5">
    <cfRule type="cellIs" dxfId="2" priority="3" operator="equal">
      <formula>"选择更大的磁芯！"</formula>
    </cfRule>
  </conditionalFormatting>
  <conditionalFormatting sqref="K12">
    <cfRule type="cellIs" dxfId="1" priority="2" operator="greaterThan">
      <formula>$C$19*$C$20</formula>
    </cfRule>
  </conditionalFormatting>
  <conditionalFormatting sqref="K13">
    <cfRule type="cellIs" dxfId="0" priority="1" operator="greaterThan">
      <formula>$C$21*$C$22</formula>
    </cfRule>
  </conditionalFormatting>
  <pageMargins left="0.7" right="0.7" top="0.75" bottom="0.75" header="0.3" footer="0.3"/>
  <pageSetup paperSize="9" orientation="landscape" r:id="rId1"/>
  <ignoredErrors>
    <ignoredError sqref="P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Calculations!$L$28:$L$66</xm:f>
          </x14:formula1>
          <xm:sqref>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E21"/>
  <sheetViews>
    <sheetView showGridLines="0" zoomScaleNormal="100" workbookViewId="0">
      <selection activeCell="D27" sqref="D27"/>
    </sheetView>
  </sheetViews>
  <sheetFormatPr defaultColWidth="9" defaultRowHeight="13.2" x14ac:dyDescent="0.25"/>
  <cols>
    <col min="1" max="26" width="3.5546875" style="68" customWidth="1"/>
    <col min="27" max="27" width="4.109375" style="68" customWidth="1"/>
    <col min="28" max="28" width="7.77734375" style="68" customWidth="1"/>
    <col min="29" max="29" width="9" style="68"/>
    <col min="30" max="30" width="6.21875" style="68" customWidth="1"/>
    <col min="31" max="31" width="8.44140625" style="68" customWidth="1"/>
    <col min="32" max="32" width="7.21875" style="68" customWidth="1"/>
    <col min="33" max="16384" width="9" style="68"/>
  </cols>
  <sheetData>
    <row r="1" spans="1:31" ht="12" customHeight="1" x14ac:dyDescent="0.25">
      <c r="A1"/>
      <c r="S1" s="118"/>
      <c r="T1" s="118"/>
      <c r="AC1" s="69"/>
      <c r="AD1" s="70"/>
      <c r="AE1" s="70"/>
    </row>
    <row r="2" spans="1:31" ht="12" customHeight="1" x14ac:dyDescent="0.25">
      <c r="U2" s="118" t="str">
        <f>BP3338A!C21&amp;BP3338A!D21</f>
        <v>300V</v>
      </c>
      <c r="V2" s="118"/>
      <c r="AB2" s="71"/>
      <c r="AC2" s="112" t="s">
        <v>341</v>
      </c>
      <c r="AD2" s="112"/>
      <c r="AE2" s="112"/>
    </row>
    <row r="3" spans="1:31" ht="12" customHeight="1" x14ac:dyDescent="0.25">
      <c r="L3" s="118"/>
      <c r="M3" s="118"/>
      <c r="U3" s="118"/>
      <c r="V3" s="118"/>
      <c r="AB3" s="71"/>
      <c r="AC3" s="72"/>
      <c r="AD3" s="73" t="s">
        <v>267</v>
      </c>
      <c r="AE3" s="73" t="s">
        <v>268</v>
      </c>
    </row>
    <row r="4" spans="1:31" ht="12" customHeight="1" x14ac:dyDescent="0.25">
      <c r="L4" s="118"/>
      <c r="M4" s="118"/>
      <c r="U4" s="118" t="str">
        <f>"  "&amp;BP3338A!I8&amp;BP3338A!J8</f>
        <v xml:space="preserve">  1400uF</v>
      </c>
      <c r="V4" s="118"/>
      <c r="AB4" s="112" t="s">
        <v>272</v>
      </c>
      <c r="AC4" s="73" t="s">
        <v>269</v>
      </c>
      <c r="AD4" s="72">
        <f>Np</f>
        <v>28</v>
      </c>
      <c r="AE4" s="72" t="str">
        <f>ROUND(BP3338A!P21,2)&amp;"mm*"&amp;BP3338A!P19</f>
        <v>0.42mm*1</v>
      </c>
    </row>
    <row r="5" spans="1:31" ht="12" customHeight="1" x14ac:dyDescent="0.25">
      <c r="O5" s="121" t="s">
        <v>296</v>
      </c>
      <c r="P5" s="119"/>
      <c r="R5" s="68" t="str">
        <f>Np&amp;BP3338A!Q9</f>
        <v>28圈</v>
      </c>
      <c r="U5" s="68" t="str">
        <f>Ns&amp;BP3338A!Q11</f>
        <v>13圈</v>
      </c>
      <c r="AB5" s="113"/>
      <c r="AC5" s="73" t="s">
        <v>270</v>
      </c>
      <c r="AD5" s="72">
        <f>Ns</f>
        <v>13</v>
      </c>
      <c r="AE5" s="72" t="str">
        <f>ROUND(BP3338A!P22,2)&amp;"mm*"&amp;BP3338A!P20</f>
        <v>0.59mm*1</v>
      </c>
    </row>
    <row r="6" spans="1:31" ht="12" customHeight="1" x14ac:dyDescent="0.25">
      <c r="O6" s="119"/>
      <c r="P6" s="119"/>
      <c r="AB6" s="113"/>
      <c r="AC6" s="73" t="s">
        <v>271</v>
      </c>
      <c r="AD6" s="72">
        <f>Naux</f>
        <v>4</v>
      </c>
      <c r="AE6" s="72">
        <v>0.2</v>
      </c>
    </row>
    <row r="7" spans="1:31" ht="12" customHeight="1" x14ac:dyDescent="0.25">
      <c r="O7" s="119"/>
      <c r="P7" s="119"/>
      <c r="S7" s="118" t="str">
        <f>BP3338A!I6&amp;BP3338A!J6</f>
        <v>300uH</v>
      </c>
      <c r="T7" s="118"/>
      <c r="AB7" s="74" t="s">
        <v>273</v>
      </c>
      <c r="AC7" s="114" t="str">
        <f>BP3338A!O4</f>
        <v xml:space="preserve">PQ32/20  </v>
      </c>
      <c r="AD7" s="114"/>
      <c r="AE7" s="114"/>
    </row>
    <row r="8" spans="1:31" ht="12" customHeight="1" x14ac:dyDescent="0.25">
      <c r="AB8" s="74" t="s">
        <v>275</v>
      </c>
      <c r="AC8" s="115" t="str">
        <f>ROUND(BP3338A!P24,2)&amp;"mm"</f>
        <v>0.56mm</v>
      </c>
      <c r="AD8" s="116"/>
      <c r="AE8" s="117"/>
    </row>
    <row r="9" spans="1:31" ht="12" customHeight="1" x14ac:dyDescent="0.25">
      <c r="F9" s="120" t="str">
        <f>capcin&amp;BP3338A!J9</f>
        <v>220nF</v>
      </c>
      <c r="G9" s="120"/>
      <c r="AB9" s="74" t="s">
        <v>274</v>
      </c>
      <c r="AC9" s="114" t="str">
        <f>BP3338A!I6&amp;BP3338A!J6&amp;"±5%"</f>
        <v>300uH±5%</v>
      </c>
      <c r="AD9" s="114"/>
      <c r="AE9" s="114"/>
    </row>
    <row r="10" spans="1:31" ht="12" customHeight="1" x14ac:dyDescent="0.25">
      <c r="J10" s="68" t="s">
        <v>263</v>
      </c>
    </row>
    <row r="11" spans="1:31" ht="12" customHeight="1" x14ac:dyDescent="0.25">
      <c r="R11" s="70"/>
      <c r="S11" s="119"/>
      <c r="T11" s="119"/>
    </row>
    <row r="12" spans="1:31" ht="12" customHeight="1" x14ac:dyDescent="0.25">
      <c r="K12" s="118" t="str">
        <f>Cvcc&amp;BP3338A!W17</f>
        <v>10uF</v>
      </c>
      <c r="L12" s="118"/>
      <c r="S12" s="119"/>
      <c r="T12" s="119"/>
    </row>
    <row r="13" spans="1:31" ht="12" customHeight="1" x14ac:dyDescent="0.25">
      <c r="F13" s="118" t="str">
        <f>Naux&amp;BP3338A!Q15</f>
        <v>4圈</v>
      </c>
      <c r="G13" s="118"/>
      <c r="I13" s="118" t="str">
        <f>"  "&amp;Rup&amp;BP3338A!W8</f>
        <v xml:space="preserve">  150kΩ</v>
      </c>
      <c r="J13" s="118"/>
      <c r="S13" s="68" t="str">
        <f>VDSS_BR&amp;BP3338A!D19</f>
        <v>650V</v>
      </c>
    </row>
    <row r="14" spans="1:31" ht="12" customHeight="1" x14ac:dyDescent="0.25">
      <c r="W14" s="118"/>
      <c r="X14" s="118"/>
    </row>
    <row r="15" spans="1:31" ht="12" customHeight="1" x14ac:dyDescent="0.25">
      <c r="W15" s="118"/>
      <c r="X15" s="118"/>
      <c r="Y15" s="75"/>
    </row>
    <row r="16" spans="1:31" ht="12" customHeight="1" x14ac:dyDescent="0.25">
      <c r="I16" s="118" t="str">
        <f>" "&amp;Rdown&amp;BP3338A!W10</f>
        <v xml:space="preserve"> 30kΩ</v>
      </c>
      <c r="J16" s="118"/>
    </row>
    <row r="17" spans="11:25" ht="12" customHeight="1" x14ac:dyDescent="0.25">
      <c r="K17" s="119" t="str">
        <f>"  "&amp;BP3338A!V21&amp;BP3338A!W21</f>
        <v xml:space="preserve">  1uF</v>
      </c>
      <c r="L17" s="119"/>
      <c r="Q17" s="118" t="str">
        <f>BP3338A!V4&amp;BP3338A!W4</f>
        <v>0.2Ω</v>
      </c>
      <c r="R17" s="118"/>
      <c r="Y17" s="76"/>
    </row>
    <row r="18" spans="11:25" ht="12" customHeight="1" x14ac:dyDescent="0.25">
      <c r="K18" s="119"/>
      <c r="L18" s="119"/>
      <c r="Q18" s="118"/>
      <c r="R18" s="118"/>
    </row>
    <row r="19" spans="11:25" ht="12" customHeight="1" x14ac:dyDescent="0.25"/>
    <row r="20" spans="11:25" ht="12" customHeight="1" x14ac:dyDescent="0.25"/>
    <row r="21" spans="11:25" ht="12" customHeight="1" x14ac:dyDescent="0.25"/>
  </sheetData>
  <sheetProtection selectLockedCells="1" selectUnlockedCells="1"/>
  <mergeCells count="20">
    <mergeCell ref="S1:T1"/>
    <mergeCell ref="W14:X15"/>
    <mergeCell ref="K17:L18"/>
    <mergeCell ref="F9:G9"/>
    <mergeCell ref="U4:V4"/>
    <mergeCell ref="S11:T12"/>
    <mergeCell ref="K12:L12"/>
    <mergeCell ref="Q17:R18"/>
    <mergeCell ref="L3:M4"/>
    <mergeCell ref="F13:G13"/>
    <mergeCell ref="I13:J13"/>
    <mergeCell ref="I16:J16"/>
    <mergeCell ref="S7:T7"/>
    <mergeCell ref="O5:P7"/>
    <mergeCell ref="U2:V3"/>
    <mergeCell ref="AC2:AE2"/>
    <mergeCell ref="AB4:AB6"/>
    <mergeCell ref="AC7:AE7"/>
    <mergeCell ref="AC9:AE9"/>
    <mergeCell ref="AC8:AE8"/>
  </mergeCells>
  <phoneticPr fontId="1" type="noConversion"/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3076" r:id="rId4">
          <objectPr locked="0"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24</xdr:col>
                <xdr:colOff>114300</xdr:colOff>
                <xdr:row>20</xdr:row>
                <xdr:rowOff>91440</xdr:rowOff>
              </to>
            </anchor>
          </objectPr>
        </oleObject>
      </mc:Choice>
      <mc:Fallback>
        <oleObject progId="Visio.Drawing.11" shapeId="307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68"/>
  <sheetViews>
    <sheetView workbookViewId="0">
      <selection activeCell="F25" sqref="F25"/>
    </sheetView>
  </sheetViews>
  <sheetFormatPr defaultRowHeight="13.8" x14ac:dyDescent="0.25"/>
  <cols>
    <col min="1" max="1" width="17.21875" bestFit="1" customWidth="1"/>
    <col min="2" max="2" width="12" customWidth="1"/>
    <col min="12" max="12" width="14.109375" bestFit="1" customWidth="1"/>
  </cols>
  <sheetData>
    <row r="1" spans="1:10" x14ac:dyDescent="0.25">
      <c r="A1" t="s">
        <v>25</v>
      </c>
      <c r="B1" t="s">
        <v>244</v>
      </c>
      <c r="C1">
        <v>220</v>
      </c>
      <c r="D1" t="s">
        <v>247</v>
      </c>
      <c r="F1" s="122" t="s">
        <v>58</v>
      </c>
      <c r="G1" s="122"/>
      <c r="H1" s="122"/>
      <c r="I1" s="122"/>
    </row>
    <row r="2" spans="1:10" x14ac:dyDescent="0.25">
      <c r="A2" t="s">
        <v>28</v>
      </c>
      <c r="B2" s="2" t="s">
        <v>26</v>
      </c>
      <c r="C2">
        <f>Vac_min*SQRT(2)</f>
        <v>141.42135623730951</v>
      </c>
      <c r="D2" t="s">
        <v>4</v>
      </c>
      <c r="G2" t="s">
        <v>0</v>
      </c>
      <c r="H2" t="s">
        <v>244</v>
      </c>
      <c r="I2" t="s">
        <v>1</v>
      </c>
    </row>
    <row r="3" spans="1:10" x14ac:dyDescent="0.25">
      <c r="A3" t="s">
        <v>29</v>
      </c>
      <c r="B3" s="2" t="s">
        <v>245</v>
      </c>
      <c r="C3">
        <f>Vac_mid*SQRT(2)</f>
        <v>311.12698372208092</v>
      </c>
      <c r="D3" t="s">
        <v>4</v>
      </c>
      <c r="F3" t="s">
        <v>47</v>
      </c>
      <c r="G3">
        <f>(0.637+4.6*10^(-3)*Kv_acmin)/(1+0.862*Kv_acmin)</f>
        <v>0.29853267322699295</v>
      </c>
      <c r="H3">
        <f>(0.637+4.6*10^(-3)*Kv_acmid)/(1+0.862*Kv_acmid)</f>
        <v>0.18378799807497762</v>
      </c>
      <c r="I3">
        <f>(0.637+4.6*10^(-3)*Kv_acmax)/(1+0.862*Kv_acmax)</f>
        <v>0.14686297401792506</v>
      </c>
    </row>
    <row r="4" spans="1:10" x14ac:dyDescent="0.25">
      <c r="B4" s="2" t="s">
        <v>27</v>
      </c>
      <c r="C4">
        <f>Vac_max*SQRT(2)</f>
        <v>424.26406871192853</v>
      </c>
      <c r="D4" t="s">
        <v>4</v>
      </c>
      <c r="F4" t="s">
        <v>48</v>
      </c>
      <c r="G4">
        <f>(0.5+1.4*10^(-3)*Kv_acmin)/(1+0.815*Kv_acmin)</f>
        <v>0.23996365372070227</v>
      </c>
      <c r="H4">
        <f>(0.5+1.4*10^(-3)*Kv_acmid)/(1+0.815*Kv_acmid)</f>
        <v>0.14821895294955847</v>
      </c>
      <c r="I4">
        <f>(0.5+1.4*10^(-3)*Kv_acmax)/(1+0.815*Kv_acmax)</f>
        <v>0.11829176216039844</v>
      </c>
    </row>
    <row r="5" spans="1:10" x14ac:dyDescent="0.25">
      <c r="A5" t="s">
        <v>45</v>
      </c>
      <c r="F5" t="s">
        <v>49</v>
      </c>
      <c r="G5">
        <f>(0.424+5.7*10^(-4)*Kv_acmin)/(1+0.862*Kv_acmin)</f>
        <v>0.19716036549282051</v>
      </c>
      <c r="H5">
        <f>(0.424+5.7*10^(-4)*Kv_acmid)/(1+0.862*Kv_acmid)</f>
        <v>0.12025888013738385</v>
      </c>
      <c r="I5">
        <f>(0.424+5.7*10^(-4)*Kv_acmax)/(1+0.862*Kv_acmax)</f>
        <v>9.5511856425733191E-2</v>
      </c>
    </row>
    <row r="6" spans="1:10" x14ac:dyDescent="0.25">
      <c r="A6" t="s">
        <v>46</v>
      </c>
      <c r="B6" t="s">
        <v>40</v>
      </c>
      <c r="C6">
        <f>BP3338A!I4</f>
        <v>2.2000000000000002</v>
      </c>
      <c r="F6" t="s">
        <v>64</v>
      </c>
    </row>
    <row r="7" spans="1:10" x14ac:dyDescent="0.25">
      <c r="B7" t="s">
        <v>42</v>
      </c>
      <c r="C7">
        <f>Nps*Vo_max</f>
        <v>105.60000000000001</v>
      </c>
      <c r="F7" t="s">
        <v>65</v>
      </c>
      <c r="G7">
        <f>(0.25-1.5*10^(-3)*Kv_acmin)/(1+1.074*Kv_acmin)</f>
        <v>0.10170577581087757</v>
      </c>
      <c r="H7">
        <f>(0.25-1.5*10^(-3)*Kv_acmid)/(1+1.074*Kv_acmid)</f>
        <v>5.8972796098317369E-2</v>
      </c>
      <c r="I7">
        <f>(0.25-1.5*10^(-3)*Kv_acmax)/(1+1.074*Kv_acmax)</f>
        <v>4.5903185348164108E-2</v>
      </c>
    </row>
    <row r="8" spans="1:10" x14ac:dyDescent="0.25">
      <c r="B8" t="s">
        <v>43</v>
      </c>
      <c r="C8">
        <f>Vac_min_pk/VR</f>
        <v>1.3392173886108854</v>
      </c>
    </row>
    <row r="9" spans="1:10" x14ac:dyDescent="0.25">
      <c r="B9" t="s">
        <v>246</v>
      </c>
      <c r="C9">
        <f>Vac_mid_pk/VR</f>
        <v>2.9462782549439477</v>
      </c>
    </row>
    <row r="10" spans="1:10" x14ac:dyDescent="0.25">
      <c r="B10" t="s">
        <v>44</v>
      </c>
      <c r="C10">
        <f>Vac_max_pk/VR</f>
        <v>4.0176521658326561</v>
      </c>
      <c r="F10" t="s">
        <v>86</v>
      </c>
      <c r="G10">
        <f>SQRT(2)*Vac_min*2*PI()*Fac_nom*capcin*10^(-9)/(Pin_max/Vac_min)</f>
        <v>1.1946418567048053E-2</v>
      </c>
      <c r="H10">
        <f>SQRT(2)*Vac_mid*2*PI()*Fac_nom*capcin*10^(-9)/(Pin_max/Vac_min)</f>
        <v>2.6282120847505717E-2</v>
      </c>
      <c r="I10">
        <f>SQRT(2)*Vac_max*2*PI()*Fac_nom*capcin*10^(-9)/(Pin_max/Vac_max)</f>
        <v>0.10751776710343246</v>
      </c>
      <c r="J10" t="s">
        <v>87</v>
      </c>
    </row>
    <row r="11" spans="1:10" x14ac:dyDescent="0.25">
      <c r="F11" t="s">
        <v>88</v>
      </c>
      <c r="G11">
        <f>1/SQRT(1+G10^2)</f>
        <v>0.99992864917884661</v>
      </c>
      <c r="H11">
        <f>1/SQRT(1+H10^2)</f>
        <v>0.9996548038847185</v>
      </c>
      <c r="I11">
        <f>1/SQRT(1+I10^2)</f>
        <v>0.99426960016025068</v>
      </c>
    </row>
    <row r="12" spans="1:10" x14ac:dyDescent="0.25">
      <c r="B12" t="s">
        <v>50</v>
      </c>
      <c r="C12">
        <f>Iout*Vo_max</f>
        <v>72</v>
      </c>
    </row>
    <row r="13" spans="1:10" x14ac:dyDescent="0.25">
      <c r="B13" t="s">
        <v>52</v>
      </c>
      <c r="C13">
        <f>Po_max/Efficiency</f>
        <v>81.818181818181813</v>
      </c>
    </row>
    <row r="14" spans="1:10" x14ac:dyDescent="0.25">
      <c r="D14" t="s">
        <v>120</v>
      </c>
    </row>
    <row r="15" spans="1:10" x14ac:dyDescent="0.25">
      <c r="B15" t="s">
        <v>54</v>
      </c>
      <c r="C15">
        <f>BP3338A!I6</f>
        <v>300</v>
      </c>
    </row>
    <row r="16" spans="1:10" x14ac:dyDescent="0.25">
      <c r="F16" t="s">
        <v>196</v>
      </c>
    </row>
    <row r="17" spans="2:18" x14ac:dyDescent="0.25">
      <c r="F17" t="s">
        <v>202</v>
      </c>
      <c r="G17">
        <v>420</v>
      </c>
      <c r="I17" t="s">
        <v>197</v>
      </c>
    </row>
    <row r="18" spans="2:18" x14ac:dyDescent="0.25">
      <c r="B18" t="s">
        <v>106</v>
      </c>
      <c r="D18" t="s">
        <v>4</v>
      </c>
    </row>
    <row r="19" spans="2:18" x14ac:dyDescent="0.25">
      <c r="B19" t="s">
        <v>107</v>
      </c>
      <c r="C19" s="4">
        <v>0.253</v>
      </c>
      <c r="D19" t="s">
        <v>109</v>
      </c>
    </row>
    <row r="20" spans="2:18" x14ac:dyDescent="0.25">
      <c r="B20" t="s">
        <v>108</v>
      </c>
      <c r="C20" s="4">
        <v>3.6</v>
      </c>
      <c r="D20" t="s">
        <v>210</v>
      </c>
    </row>
    <row r="21" spans="2:18" x14ac:dyDescent="0.25">
      <c r="B21" t="s">
        <v>208</v>
      </c>
      <c r="C21" s="4">
        <v>0.7</v>
      </c>
      <c r="D21" t="s">
        <v>210</v>
      </c>
    </row>
    <row r="22" spans="2:18" x14ac:dyDescent="0.25">
      <c r="B22" t="s">
        <v>209</v>
      </c>
      <c r="C22" s="4">
        <v>0.5</v>
      </c>
    </row>
    <row r="24" spans="2:18" x14ac:dyDescent="0.25">
      <c r="B24" s="5" t="s">
        <v>113</v>
      </c>
      <c r="C24" s="5"/>
      <c r="D24" t="s">
        <v>116</v>
      </c>
    </row>
    <row r="25" spans="2:18" x14ac:dyDescent="0.25">
      <c r="B25" s="5" t="s">
        <v>115</v>
      </c>
      <c r="C25" s="5">
        <f>BP3338A!P2</f>
        <v>0.3</v>
      </c>
    </row>
    <row r="26" spans="2:18" x14ac:dyDescent="0.25">
      <c r="B26" s="5" t="s">
        <v>111</v>
      </c>
      <c r="C26" s="5">
        <f>0.0085</f>
        <v>8.5000000000000006E-3</v>
      </c>
    </row>
    <row r="27" spans="2:18" x14ac:dyDescent="0.25">
      <c r="B27" s="5" t="s">
        <v>112</v>
      </c>
      <c r="C27" s="5">
        <v>0.2</v>
      </c>
      <c r="L27" s="3" t="s">
        <v>132</v>
      </c>
      <c r="M27" s="3" t="s">
        <v>133</v>
      </c>
      <c r="N27" s="3" t="s">
        <v>134</v>
      </c>
      <c r="O27" s="3" t="s">
        <v>135</v>
      </c>
      <c r="P27" s="3" t="s">
        <v>136</v>
      </c>
      <c r="Q27" s="3" t="s">
        <v>137</v>
      </c>
      <c r="R27" s="3" t="s">
        <v>138</v>
      </c>
    </row>
    <row r="28" spans="2:18" x14ac:dyDescent="0.25">
      <c r="B28" s="5" t="s">
        <v>114</v>
      </c>
      <c r="C28">
        <f>10000*(Lp*10^(-6)*Ip_pk_max_low*Ip_rms_low/(K1a*Bmax))^(4/3)</f>
        <v>7101.9213156633996</v>
      </c>
      <c r="L28" s="78" t="s">
        <v>139</v>
      </c>
      <c r="M28" s="78" t="s">
        <v>123</v>
      </c>
      <c r="N28" s="78">
        <v>62</v>
      </c>
      <c r="O28" s="78">
        <v>37.4</v>
      </c>
      <c r="P28" s="78">
        <v>23.4</v>
      </c>
      <c r="Q28" s="78">
        <v>1450.8</v>
      </c>
      <c r="R28" s="78">
        <v>44</v>
      </c>
    </row>
    <row r="29" spans="2:18" x14ac:dyDescent="0.25">
      <c r="L29" s="78" t="s">
        <v>140</v>
      </c>
      <c r="M29" s="78" t="s">
        <v>124</v>
      </c>
      <c r="N29" s="78">
        <v>62</v>
      </c>
      <c r="O29" s="78">
        <v>45.4</v>
      </c>
      <c r="P29" s="78">
        <v>36.200000000000003</v>
      </c>
      <c r="Q29" s="78">
        <v>2244.4</v>
      </c>
      <c r="R29" s="78">
        <v>44</v>
      </c>
    </row>
    <row r="30" spans="2:18" x14ac:dyDescent="0.25">
      <c r="D30" t="s">
        <v>210</v>
      </c>
      <c r="L30" s="78" t="s">
        <v>141</v>
      </c>
      <c r="M30" s="78" t="s">
        <v>125</v>
      </c>
      <c r="N30" s="78">
        <v>119</v>
      </c>
      <c r="O30" s="78">
        <v>46.3</v>
      </c>
      <c r="P30" s="78">
        <v>30.7</v>
      </c>
      <c r="Q30" s="78">
        <v>3653.2999999999997</v>
      </c>
      <c r="R30" s="78">
        <v>56.2</v>
      </c>
    </row>
    <row r="31" spans="2:18" x14ac:dyDescent="0.25">
      <c r="B31" s="5" t="s">
        <v>217</v>
      </c>
      <c r="C31">
        <v>24</v>
      </c>
      <c r="D31" t="s">
        <v>191</v>
      </c>
      <c r="L31" s="78" t="s">
        <v>142</v>
      </c>
      <c r="M31" s="78" t="s">
        <v>126</v>
      </c>
      <c r="N31" s="78">
        <v>118</v>
      </c>
      <c r="O31" s="78">
        <v>55.5</v>
      </c>
      <c r="P31" s="78">
        <v>47.7</v>
      </c>
      <c r="Q31" s="78">
        <v>5628.6</v>
      </c>
      <c r="R31" s="78">
        <v>56.2</v>
      </c>
    </row>
    <row r="32" spans="2:18" x14ac:dyDescent="0.25">
      <c r="B32" t="s">
        <v>189</v>
      </c>
      <c r="C32">
        <v>20</v>
      </c>
      <c r="D32" t="s">
        <v>191</v>
      </c>
      <c r="L32" s="78" t="s">
        <v>143</v>
      </c>
      <c r="M32" s="78" t="s">
        <v>127</v>
      </c>
      <c r="N32" s="78">
        <v>170</v>
      </c>
      <c r="O32" s="78">
        <v>55.5</v>
      </c>
      <c r="P32" s="78">
        <v>42.9</v>
      </c>
      <c r="Q32" s="78">
        <v>7293</v>
      </c>
      <c r="R32" s="78">
        <v>67.099999999999994</v>
      </c>
    </row>
    <row r="33" spans="2:18" x14ac:dyDescent="0.25">
      <c r="B33" t="s">
        <v>190</v>
      </c>
      <c r="C33">
        <v>7.5</v>
      </c>
      <c r="D33" t="s">
        <v>193</v>
      </c>
      <c r="L33" s="78" t="s">
        <v>144</v>
      </c>
      <c r="M33" s="78" t="s">
        <v>128</v>
      </c>
      <c r="N33" s="78">
        <v>161</v>
      </c>
      <c r="O33" s="78">
        <v>74.599999999999994</v>
      </c>
      <c r="P33" s="78">
        <v>95.3</v>
      </c>
      <c r="Q33" s="78">
        <v>15343.3</v>
      </c>
      <c r="R33" s="78">
        <v>67.099999999999994</v>
      </c>
    </row>
    <row r="34" spans="2:18" x14ac:dyDescent="0.25">
      <c r="B34" t="s">
        <v>192</v>
      </c>
      <c r="C34">
        <v>42</v>
      </c>
      <c r="D34" t="s">
        <v>216</v>
      </c>
      <c r="L34" s="78" t="s">
        <v>145</v>
      </c>
      <c r="M34" s="78" t="s">
        <v>129</v>
      </c>
      <c r="N34" s="78">
        <v>196</v>
      </c>
      <c r="O34" s="78">
        <v>87.9</v>
      </c>
      <c r="P34" s="78">
        <v>154.19999999999999</v>
      </c>
      <c r="Q34" s="78">
        <v>30223.199999999997</v>
      </c>
      <c r="R34" s="78">
        <v>75.2</v>
      </c>
    </row>
    <row r="35" spans="2:18" x14ac:dyDescent="0.25">
      <c r="B35" t="s">
        <v>215</v>
      </c>
      <c r="C35">
        <v>1.5</v>
      </c>
      <c r="L35" s="78" t="s">
        <v>146</v>
      </c>
      <c r="M35" s="78" t="s">
        <v>130</v>
      </c>
      <c r="N35" s="78">
        <v>201</v>
      </c>
      <c r="O35" s="78">
        <v>102</v>
      </c>
      <c r="P35" s="78">
        <v>240</v>
      </c>
      <c r="Q35" s="78">
        <v>48240</v>
      </c>
      <c r="R35" s="78">
        <v>83.9</v>
      </c>
    </row>
    <row r="36" spans="2:18" x14ac:dyDescent="0.25">
      <c r="L36" s="78" t="s">
        <v>147</v>
      </c>
      <c r="M36" s="78" t="s">
        <v>131</v>
      </c>
      <c r="N36" s="78">
        <v>328</v>
      </c>
      <c r="O36" s="78">
        <v>113</v>
      </c>
      <c r="P36" s="78">
        <v>313</v>
      </c>
      <c r="Q36" s="78">
        <v>102664</v>
      </c>
      <c r="R36" s="78">
        <v>104</v>
      </c>
    </row>
    <row r="37" spans="2:18" x14ac:dyDescent="0.25">
      <c r="L37" s="77" t="s">
        <v>300</v>
      </c>
      <c r="M37" s="77"/>
      <c r="N37" s="77">
        <v>14</v>
      </c>
      <c r="O37" s="77">
        <v>22.7</v>
      </c>
      <c r="P37" s="77">
        <v>8.0500000000000007</v>
      </c>
      <c r="Q37" s="77">
        <v>112.70000000000002</v>
      </c>
      <c r="R37" s="77">
        <v>19.8</v>
      </c>
    </row>
    <row r="38" spans="2:18" x14ac:dyDescent="0.25">
      <c r="L38" s="77" t="s">
        <v>301</v>
      </c>
      <c r="M38" s="77"/>
      <c r="N38" s="77">
        <v>23.7</v>
      </c>
      <c r="O38" s="77">
        <v>22.4</v>
      </c>
      <c r="P38" s="77">
        <v>10.1</v>
      </c>
      <c r="Q38" s="77">
        <v>239.36999999999998</v>
      </c>
      <c r="R38" s="77">
        <v>25</v>
      </c>
    </row>
    <row r="39" spans="2:18" x14ac:dyDescent="0.25">
      <c r="L39" s="77" t="s">
        <v>302</v>
      </c>
      <c r="M39" s="77"/>
      <c r="N39" s="77">
        <v>36.6</v>
      </c>
      <c r="O39" s="77">
        <v>28.6</v>
      </c>
      <c r="P39" s="77">
        <v>15.5</v>
      </c>
      <c r="Q39" s="77">
        <v>567.30000000000007</v>
      </c>
      <c r="R39" s="77">
        <v>31</v>
      </c>
    </row>
    <row r="40" spans="2:18" x14ac:dyDescent="0.25">
      <c r="L40" s="77" t="s">
        <v>303</v>
      </c>
      <c r="M40" s="77"/>
      <c r="N40" s="77">
        <v>64</v>
      </c>
      <c r="O40" s="77">
        <v>38</v>
      </c>
      <c r="P40" s="77">
        <v>31</v>
      </c>
      <c r="Q40" s="77">
        <v>1984</v>
      </c>
      <c r="R40" s="77">
        <v>42</v>
      </c>
    </row>
    <row r="41" spans="2:18" x14ac:dyDescent="0.25">
      <c r="L41" s="77" t="s">
        <v>277</v>
      </c>
      <c r="M41" s="77"/>
      <c r="N41" s="77">
        <v>98</v>
      </c>
      <c r="O41" s="77">
        <v>44</v>
      </c>
      <c r="P41" s="77">
        <v>45.7</v>
      </c>
      <c r="Q41" s="77">
        <v>4478.6000000000004</v>
      </c>
      <c r="R41" s="77">
        <v>53</v>
      </c>
    </row>
    <row r="42" spans="2:18" x14ac:dyDescent="0.25">
      <c r="L42" s="87" t="s">
        <v>304</v>
      </c>
      <c r="M42" s="87"/>
      <c r="N42" s="87">
        <v>44.8</v>
      </c>
      <c r="O42" s="87"/>
      <c r="P42" s="87">
        <v>79.400000000000006</v>
      </c>
      <c r="Q42" s="87">
        <f>N42*P42</f>
        <v>3557.12</v>
      </c>
      <c r="R42" s="87"/>
    </row>
    <row r="43" spans="2:18" x14ac:dyDescent="0.25">
      <c r="L43" s="87" t="s">
        <v>305</v>
      </c>
      <c r="M43" s="87"/>
      <c r="N43" s="87">
        <v>52.8</v>
      </c>
      <c r="O43" s="87"/>
      <c r="P43" s="87">
        <v>13.91</v>
      </c>
      <c r="Q43" s="87">
        <f t="shared" ref="Q43:Q62" si="0">N43*P43</f>
        <v>734.44799999999998</v>
      </c>
      <c r="R43" s="87"/>
    </row>
    <row r="44" spans="2:18" x14ac:dyDescent="0.25">
      <c r="L44" s="87" t="s">
        <v>306</v>
      </c>
      <c r="M44" s="87"/>
      <c r="N44" s="87">
        <v>82.1</v>
      </c>
      <c r="O44" s="87"/>
      <c r="P44" s="87">
        <v>114</v>
      </c>
      <c r="Q44" s="87">
        <f t="shared" si="0"/>
        <v>9359.4</v>
      </c>
      <c r="R44" s="87"/>
    </row>
    <row r="45" spans="2:18" x14ac:dyDescent="0.25">
      <c r="L45" s="87" t="s">
        <v>307</v>
      </c>
      <c r="M45" s="87"/>
      <c r="N45" s="87">
        <v>81.400000000000006</v>
      </c>
      <c r="O45" s="87"/>
      <c r="P45" s="87">
        <v>148</v>
      </c>
      <c r="Q45" s="87">
        <f t="shared" si="0"/>
        <v>12047.2</v>
      </c>
      <c r="R45" s="87"/>
    </row>
    <row r="46" spans="2:18" x14ac:dyDescent="0.25">
      <c r="L46" s="87" t="s">
        <v>308</v>
      </c>
      <c r="M46" s="87"/>
      <c r="N46" s="87">
        <v>107.5</v>
      </c>
      <c r="O46" s="87"/>
      <c r="P46" s="87">
        <v>79.5</v>
      </c>
      <c r="Q46" s="87">
        <f t="shared" si="0"/>
        <v>8546.25</v>
      </c>
      <c r="R46" s="87"/>
    </row>
    <row r="47" spans="2:18" x14ac:dyDescent="0.25">
      <c r="L47" s="87" t="s">
        <v>309</v>
      </c>
      <c r="M47" s="87"/>
      <c r="N47" s="87">
        <v>85.5</v>
      </c>
      <c r="O47" s="87"/>
      <c r="P47" s="87">
        <v>158.69999999999999</v>
      </c>
      <c r="Q47" s="87">
        <f t="shared" si="0"/>
        <v>13568.849999999999</v>
      </c>
      <c r="R47" s="87"/>
    </row>
    <row r="48" spans="2:18" x14ac:dyDescent="0.25">
      <c r="L48" s="4" t="s">
        <v>310</v>
      </c>
      <c r="M48" s="4"/>
      <c r="N48" s="4">
        <v>7.2</v>
      </c>
      <c r="O48" s="4"/>
      <c r="P48" s="4">
        <v>11.6</v>
      </c>
      <c r="Q48" s="4">
        <f t="shared" si="0"/>
        <v>83.52</v>
      </c>
      <c r="R48" s="4"/>
    </row>
    <row r="49" spans="12:18" x14ac:dyDescent="0.25">
      <c r="L49" s="4" t="s">
        <v>311</v>
      </c>
      <c r="M49" s="4"/>
      <c r="N49" s="4">
        <v>11.4</v>
      </c>
      <c r="O49" s="4"/>
      <c r="P49" s="4">
        <v>16.38</v>
      </c>
      <c r="Q49" s="4">
        <f t="shared" si="0"/>
        <v>186.732</v>
      </c>
      <c r="R49" s="4"/>
    </row>
    <row r="50" spans="12:18" x14ac:dyDescent="0.25">
      <c r="L50" s="4" t="s">
        <v>312</v>
      </c>
      <c r="M50" s="4"/>
      <c r="N50" s="4">
        <v>15</v>
      </c>
      <c r="O50" s="4"/>
      <c r="P50" s="4">
        <v>31.35</v>
      </c>
      <c r="Q50" s="4">
        <f t="shared" si="0"/>
        <v>470.25</v>
      </c>
      <c r="R50" s="4"/>
    </row>
    <row r="51" spans="12:18" x14ac:dyDescent="0.25">
      <c r="L51" s="4" t="s">
        <v>313</v>
      </c>
      <c r="M51" s="4"/>
      <c r="N51" s="4">
        <v>31</v>
      </c>
      <c r="O51" s="4"/>
      <c r="P51" s="4">
        <v>50</v>
      </c>
      <c r="Q51" s="4">
        <f t="shared" si="0"/>
        <v>1550</v>
      </c>
      <c r="R51" s="4"/>
    </row>
    <row r="52" spans="12:18" x14ac:dyDescent="0.25">
      <c r="L52" s="4" t="s">
        <v>314</v>
      </c>
      <c r="M52" s="4"/>
      <c r="N52" s="4">
        <v>58</v>
      </c>
      <c r="O52" s="4"/>
      <c r="P52" s="4">
        <v>67.89</v>
      </c>
      <c r="Q52" s="4">
        <f t="shared" si="0"/>
        <v>3937.62</v>
      </c>
      <c r="R52" s="4"/>
    </row>
    <row r="53" spans="12:18" x14ac:dyDescent="0.25">
      <c r="L53" s="4" t="s">
        <v>315</v>
      </c>
      <c r="M53" s="4"/>
      <c r="N53" s="4">
        <v>69</v>
      </c>
      <c r="O53" s="4"/>
      <c r="P53" s="4">
        <v>87.36</v>
      </c>
      <c r="Q53" s="4">
        <f t="shared" si="0"/>
        <v>6027.84</v>
      </c>
      <c r="R53" s="4"/>
    </row>
    <row r="54" spans="12:18" x14ac:dyDescent="0.25">
      <c r="L54" s="81" t="s">
        <v>316</v>
      </c>
      <c r="M54" s="81"/>
      <c r="N54" s="81">
        <v>19.2</v>
      </c>
      <c r="O54" s="81"/>
      <c r="P54" s="81">
        <v>39.85</v>
      </c>
      <c r="Q54" s="81">
        <f t="shared" si="0"/>
        <v>765.12</v>
      </c>
      <c r="R54" s="81"/>
    </row>
    <row r="55" spans="12:18" x14ac:dyDescent="0.25">
      <c r="L55" s="81" t="s">
        <v>317</v>
      </c>
      <c r="M55" s="81"/>
      <c r="N55" s="81">
        <v>23</v>
      </c>
      <c r="O55" s="81"/>
      <c r="P55" s="81">
        <v>39.4</v>
      </c>
      <c r="Q55" s="81">
        <f t="shared" si="0"/>
        <v>906.19999999999993</v>
      </c>
      <c r="R55" s="81"/>
    </row>
    <row r="56" spans="12:18" x14ac:dyDescent="0.25">
      <c r="L56" s="81" t="s">
        <v>318</v>
      </c>
      <c r="M56" s="81"/>
      <c r="N56" s="81">
        <v>22.4</v>
      </c>
      <c r="O56" s="81"/>
      <c r="P56" s="81">
        <v>54.04</v>
      </c>
      <c r="Q56" s="81">
        <f t="shared" si="0"/>
        <v>1210.4959999999999</v>
      </c>
      <c r="R56" s="81"/>
    </row>
    <row r="57" spans="12:18" x14ac:dyDescent="0.25">
      <c r="L57" s="81" t="s">
        <v>319</v>
      </c>
      <c r="M57" s="81"/>
      <c r="N57" s="81">
        <v>31</v>
      </c>
      <c r="O57" s="81"/>
      <c r="P57" s="81">
        <v>53.15</v>
      </c>
      <c r="Q57" s="81">
        <f t="shared" si="0"/>
        <v>1647.6499999999999</v>
      </c>
      <c r="R57" s="81"/>
    </row>
    <row r="58" spans="12:18" x14ac:dyDescent="0.25">
      <c r="L58" s="81" t="s">
        <v>320</v>
      </c>
      <c r="M58" s="81"/>
      <c r="N58" s="81">
        <v>41</v>
      </c>
      <c r="O58" s="81"/>
      <c r="P58" s="81">
        <v>39.6</v>
      </c>
      <c r="Q58" s="81">
        <f t="shared" si="0"/>
        <v>1623.6000000000001</v>
      </c>
      <c r="R58" s="81"/>
    </row>
    <row r="59" spans="12:18" x14ac:dyDescent="0.25">
      <c r="L59" s="81" t="s">
        <v>321</v>
      </c>
      <c r="M59" s="81"/>
      <c r="N59" s="81">
        <v>40</v>
      </c>
      <c r="O59" s="81"/>
      <c r="P59" s="81">
        <v>78.2</v>
      </c>
      <c r="Q59" s="81">
        <f t="shared" si="0"/>
        <v>3128</v>
      </c>
      <c r="R59" s="81"/>
    </row>
    <row r="60" spans="12:18" x14ac:dyDescent="0.25">
      <c r="L60" s="81" t="s">
        <v>322</v>
      </c>
      <c r="M60" s="81"/>
      <c r="N60" s="81">
        <v>40.299999999999997</v>
      </c>
      <c r="O60" s="81"/>
      <c r="P60" s="81">
        <v>78.73</v>
      </c>
      <c r="Q60" s="81">
        <f t="shared" si="0"/>
        <v>3172.819</v>
      </c>
      <c r="R60" s="81"/>
    </row>
    <row r="61" spans="12:18" x14ac:dyDescent="0.25">
      <c r="L61" s="81" t="s">
        <v>323</v>
      </c>
      <c r="M61" s="81"/>
      <c r="N61" s="81">
        <v>86.9</v>
      </c>
      <c r="O61" s="81"/>
      <c r="P61" s="81">
        <v>98.1</v>
      </c>
      <c r="Q61" s="81">
        <f t="shared" si="0"/>
        <v>8524.89</v>
      </c>
      <c r="R61" s="81"/>
    </row>
    <row r="62" spans="12:18" x14ac:dyDescent="0.25">
      <c r="L62" s="81" t="s">
        <v>324</v>
      </c>
      <c r="M62" s="81"/>
      <c r="N62" s="81">
        <v>109</v>
      </c>
      <c r="O62" s="81"/>
      <c r="P62" s="81">
        <v>73.349999999999994</v>
      </c>
      <c r="Q62" s="81">
        <f t="shared" si="0"/>
        <v>7995.15</v>
      </c>
      <c r="R62" s="81"/>
    </row>
    <row r="63" spans="12:18" x14ac:dyDescent="0.25">
      <c r="L63" s="80" t="s">
        <v>325</v>
      </c>
      <c r="M63" s="80"/>
      <c r="N63" s="80">
        <v>20.100000000000001</v>
      </c>
      <c r="O63" s="80"/>
      <c r="P63" s="80">
        <v>39.82</v>
      </c>
      <c r="Q63" s="80">
        <f>N63*P63</f>
        <v>800.38200000000006</v>
      </c>
      <c r="R63" s="80"/>
    </row>
    <row r="64" spans="12:18" x14ac:dyDescent="0.25">
      <c r="L64" s="80" t="s">
        <v>326</v>
      </c>
      <c r="M64" s="80"/>
      <c r="N64" s="80">
        <v>33.5</v>
      </c>
      <c r="O64" s="80"/>
      <c r="P64" s="80">
        <v>30.24</v>
      </c>
      <c r="Q64" s="80">
        <f>N64*P64</f>
        <v>1013.04</v>
      </c>
      <c r="R64" s="80"/>
    </row>
    <row r="65" spans="12:18" x14ac:dyDescent="0.25">
      <c r="L65" s="80" t="s">
        <v>327</v>
      </c>
      <c r="M65" s="80"/>
      <c r="N65" s="80">
        <v>51.8</v>
      </c>
      <c r="O65" s="80"/>
      <c r="P65" s="80">
        <v>45.87</v>
      </c>
      <c r="Q65" s="80">
        <f>N65*P65</f>
        <v>2376.0659999999998</v>
      </c>
      <c r="R65" s="80"/>
    </row>
    <row r="66" spans="12:18" x14ac:dyDescent="0.25">
      <c r="L66" s="80" t="s">
        <v>328</v>
      </c>
      <c r="M66" s="80"/>
      <c r="N66" s="80">
        <v>83.2</v>
      </c>
      <c r="O66" s="80"/>
      <c r="P66" s="80">
        <v>78.3</v>
      </c>
      <c r="Q66" s="80">
        <f>N66*P66</f>
        <v>6514.56</v>
      </c>
      <c r="R66" s="80"/>
    </row>
    <row r="67" spans="12:18" x14ac:dyDescent="0.25">
      <c r="L67" s="79"/>
      <c r="M67" s="79"/>
      <c r="N67" s="79"/>
      <c r="O67" s="79"/>
      <c r="P67" s="79"/>
      <c r="Q67" s="79"/>
      <c r="R67" s="79"/>
    </row>
    <row r="68" spans="12:18" x14ac:dyDescent="0.25">
      <c r="L68" s="79"/>
      <c r="M68" s="79"/>
      <c r="N68" s="79"/>
      <c r="O68" s="79"/>
      <c r="P68" s="79"/>
      <c r="Q68" s="79"/>
      <c r="R68" s="79"/>
    </row>
  </sheetData>
  <mergeCells count="1">
    <mergeCell ref="F1:I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G362"/>
  <sheetViews>
    <sheetView workbookViewId="0">
      <selection activeCell="H15" sqref="H15"/>
    </sheetView>
  </sheetViews>
  <sheetFormatPr defaultColWidth="9" defaultRowHeight="13.8" x14ac:dyDescent="0.25"/>
  <cols>
    <col min="1" max="16384" width="9" style="1"/>
  </cols>
  <sheetData>
    <row r="1" spans="1:7" x14ac:dyDescent="0.25">
      <c r="D1" s="122" t="s">
        <v>103</v>
      </c>
      <c r="E1" s="122"/>
      <c r="F1" s="122" t="s">
        <v>103</v>
      </c>
      <c r="G1" s="122"/>
    </row>
    <row r="2" spans="1:7" x14ac:dyDescent="0.25">
      <c r="A2" s="1" t="s">
        <v>97</v>
      </c>
      <c r="B2" s="1" t="s">
        <v>98</v>
      </c>
      <c r="C2" s="1" t="s">
        <v>100</v>
      </c>
      <c r="D2" s="1" t="s">
        <v>101</v>
      </c>
      <c r="E2" s="1" t="s">
        <v>102</v>
      </c>
      <c r="F2" s="1" t="s">
        <v>101</v>
      </c>
      <c r="G2" s="1" t="s">
        <v>102</v>
      </c>
    </row>
    <row r="3" spans="1:7" x14ac:dyDescent="0.25">
      <c r="A3" s="1">
        <v>1</v>
      </c>
      <c r="B3" s="1">
        <f>A3/360*PI()*2</f>
        <v>1.7453292519943295E-2</v>
      </c>
      <c r="C3" s="1">
        <f>SIN(B3)</f>
        <v>1.7452406437283512E-2</v>
      </c>
      <c r="D3" s="1">
        <f t="shared" ref="D3:D66" si="0">C3/(1+Kv_acmin*ABS(C3))</f>
        <v>1.7053815017274564E-2</v>
      </c>
      <c r="E3" s="1">
        <f t="shared" ref="E3:E66" si="1">Ip_pk_min*D3</f>
        <v>8.223200965612755E-2</v>
      </c>
      <c r="F3" s="1">
        <f t="shared" ref="F3:F66" si="2">E3/(1+Kv_acmax*ABS(E3))</f>
        <v>6.1810936467459811E-2</v>
      </c>
      <c r="G3" s="1">
        <f t="shared" ref="G3:G66" si="3">Ip_pk_max*D3</f>
        <v>5.5604586291545167E-2</v>
      </c>
    </row>
    <row r="4" spans="1:7" x14ac:dyDescent="0.25">
      <c r="A4" s="1">
        <v>2</v>
      </c>
      <c r="B4" s="1">
        <f t="shared" ref="B4:B67" si="4">A4/360*PI()*2</f>
        <v>3.4906585039886591E-2</v>
      </c>
      <c r="C4" s="1">
        <f t="shared" ref="C4:C67" si="5">SIN(B4)</f>
        <v>3.4899496702500969E-2</v>
      </c>
      <c r="D4" s="1">
        <f t="shared" si="0"/>
        <v>3.3341195480124722E-2</v>
      </c>
      <c r="E4" s="1">
        <f t="shared" si="1"/>
        <v>0.16076833869085888</v>
      </c>
      <c r="F4" s="1">
        <f t="shared" si="2"/>
        <v>9.7677403511175057E-2</v>
      </c>
      <c r="G4" s="1">
        <f t="shared" si="3"/>
        <v>0.10871018474516991</v>
      </c>
    </row>
    <row r="5" spans="1:7" x14ac:dyDescent="0.25">
      <c r="A5" s="1">
        <v>3</v>
      </c>
      <c r="B5" s="1">
        <f t="shared" si="4"/>
        <v>5.2359877559829883E-2</v>
      </c>
      <c r="C5" s="1">
        <f t="shared" si="5"/>
        <v>5.2335956242943828E-2</v>
      </c>
      <c r="D5" s="1">
        <f t="shared" si="0"/>
        <v>4.8908030410147713E-2</v>
      </c>
      <c r="E5" s="1">
        <f t="shared" si="1"/>
        <v>0.23583025996679227</v>
      </c>
      <c r="F5" s="1">
        <f t="shared" si="2"/>
        <v>0.12109484106130085</v>
      </c>
      <c r="G5" s="1">
        <f t="shared" si="3"/>
        <v>0.15946641819064303</v>
      </c>
    </row>
    <row r="6" spans="1:7" x14ac:dyDescent="0.25">
      <c r="A6" s="1">
        <v>4</v>
      </c>
      <c r="B6" s="1">
        <f t="shared" si="4"/>
        <v>6.9813170079773182E-2</v>
      </c>
      <c r="C6" s="1">
        <f t="shared" si="5"/>
        <v>6.9756473744125302E-2</v>
      </c>
      <c r="D6" s="1">
        <f t="shared" si="0"/>
        <v>6.3796649293746899E-2</v>
      </c>
      <c r="E6" s="1">
        <f t="shared" si="1"/>
        <v>0.30762188257805917</v>
      </c>
      <c r="F6" s="1">
        <f t="shared" si="2"/>
        <v>0.13758193311031452</v>
      </c>
      <c r="G6" s="1">
        <f t="shared" si="3"/>
        <v>0.20801130346331828</v>
      </c>
    </row>
    <row r="7" spans="1:7" x14ac:dyDescent="0.25">
      <c r="A7" s="1">
        <v>5</v>
      </c>
      <c r="B7" s="1">
        <f t="shared" si="4"/>
        <v>8.7266462599716474E-2</v>
      </c>
      <c r="C7" s="1">
        <f t="shared" si="5"/>
        <v>8.7155742747658166E-2</v>
      </c>
      <c r="D7" s="1">
        <f t="shared" si="0"/>
        <v>7.8046157318960252E-2</v>
      </c>
      <c r="E7" s="1">
        <f t="shared" si="1"/>
        <v>0.37633176833309273</v>
      </c>
      <c r="F7" s="1">
        <f t="shared" si="2"/>
        <v>0.1498153826448709</v>
      </c>
      <c r="G7" s="1">
        <f t="shared" si="3"/>
        <v>0.25447234445604905</v>
      </c>
    </row>
    <row r="8" spans="1:7" x14ac:dyDescent="0.25">
      <c r="A8" s="1">
        <v>6</v>
      </c>
      <c r="B8" s="1">
        <f t="shared" si="4"/>
        <v>0.10471975511965977</v>
      </c>
      <c r="C8" s="1">
        <f t="shared" si="5"/>
        <v>0.10452846326765346</v>
      </c>
      <c r="D8" s="1">
        <f t="shared" si="0"/>
        <v>9.1692733502338614E-2</v>
      </c>
      <c r="E8" s="1">
        <f t="shared" si="1"/>
        <v>0.44213436929645128</v>
      </c>
      <c r="F8" s="1">
        <f t="shared" si="2"/>
        <v>0.15925068033884252</v>
      </c>
      <c r="G8" s="1">
        <f t="shared" si="3"/>
        <v>0.29896750417275603</v>
      </c>
    </row>
    <row r="9" spans="1:7" x14ac:dyDescent="0.25">
      <c r="A9" s="1">
        <v>7</v>
      </c>
      <c r="B9" s="1">
        <f t="shared" si="4"/>
        <v>0.12217304763960307</v>
      </c>
      <c r="C9" s="1">
        <f t="shared" si="5"/>
        <v>0.12186934340514748</v>
      </c>
      <c r="D9" s="1">
        <f t="shared" si="0"/>
        <v>0.10476989640595427</v>
      </c>
      <c r="E9" s="1">
        <f t="shared" si="1"/>
        <v>0.5051913090530743</v>
      </c>
      <c r="F9" s="1">
        <f t="shared" si="2"/>
        <v>0.16674725251026423</v>
      </c>
      <c r="G9" s="1">
        <f t="shared" si="3"/>
        <v>0.34160607110843155</v>
      </c>
    </row>
    <row r="10" spans="1:7" x14ac:dyDescent="0.25">
      <c r="A10" s="1">
        <v>8</v>
      </c>
      <c r="B10" s="1">
        <f t="shared" si="4"/>
        <v>0.13962634015954636</v>
      </c>
      <c r="C10" s="1">
        <f t="shared" si="5"/>
        <v>0.13917310096006544</v>
      </c>
      <c r="D10" s="1">
        <f t="shared" si="0"/>
        <v>0.11730874147663728</v>
      </c>
      <c r="E10" s="1">
        <f t="shared" si="1"/>
        <v>0.56565252713739456</v>
      </c>
      <c r="F10" s="1">
        <f t="shared" si="2"/>
        <v>0.17284525268819231</v>
      </c>
      <c r="G10" s="1">
        <f t="shared" si="3"/>
        <v>0.38248943310238226</v>
      </c>
    </row>
    <row r="11" spans="1:7" x14ac:dyDescent="0.25">
      <c r="A11" s="1">
        <v>9</v>
      </c>
      <c r="B11" s="1">
        <f t="shared" si="4"/>
        <v>0.15707963267948966</v>
      </c>
      <c r="C11" s="1">
        <f t="shared" si="5"/>
        <v>0.15643446504023087</v>
      </c>
      <c r="D11" s="1">
        <f t="shared" si="0"/>
        <v>0.12933815347647126</v>
      </c>
      <c r="E11" s="1">
        <f t="shared" si="1"/>
        <v>0.62365730335467362</v>
      </c>
      <c r="F11" s="1">
        <f t="shared" si="2"/>
        <v>0.17790122163108757</v>
      </c>
      <c r="G11" s="1">
        <f t="shared" si="3"/>
        <v>0.42171176997561377</v>
      </c>
    </row>
    <row r="12" spans="1:7" x14ac:dyDescent="0.25">
      <c r="A12" s="1">
        <v>10</v>
      </c>
      <c r="B12" s="1">
        <f t="shared" si="4"/>
        <v>0.17453292519943295</v>
      </c>
      <c r="C12" s="1">
        <f t="shared" si="5"/>
        <v>0.17364817766693033</v>
      </c>
      <c r="D12" s="1">
        <f t="shared" si="0"/>
        <v>0.14088499699743987</v>
      </c>
      <c r="E12" s="1">
        <f t="shared" si="1"/>
        <v>0.67933517642602292</v>
      </c>
      <c r="F12" s="1">
        <f t="shared" si="2"/>
        <v>0.18215999426932117</v>
      </c>
      <c r="G12" s="1">
        <f t="shared" si="3"/>
        <v>0.45936067471078884</v>
      </c>
    </row>
    <row r="13" spans="1:7" x14ac:dyDescent="0.25">
      <c r="A13" s="1">
        <v>11</v>
      </c>
      <c r="B13" s="1">
        <f t="shared" si="4"/>
        <v>0.19198621771937624</v>
      </c>
      <c r="C13" s="1">
        <f t="shared" si="5"/>
        <v>0.1908089953765448</v>
      </c>
      <c r="D13" s="1">
        <f t="shared" si="0"/>
        <v>0.15197428764924248</v>
      </c>
      <c r="E13" s="1">
        <f t="shared" si="1"/>
        <v>0.73280676944113066</v>
      </c>
      <c r="F13" s="1">
        <f t="shared" si="2"/>
        <v>0.18579526869593324</v>
      </c>
      <c r="G13" s="1">
        <f t="shared" si="3"/>
        <v>0.4955177116163485</v>
      </c>
    </row>
    <row r="14" spans="1:7" x14ac:dyDescent="0.25">
      <c r="A14" s="1">
        <v>12</v>
      </c>
      <c r="B14" s="1">
        <f t="shared" si="4"/>
        <v>0.20943951023931953</v>
      </c>
      <c r="C14" s="1">
        <f t="shared" si="5"/>
        <v>0.20791169081775931</v>
      </c>
      <c r="D14" s="1">
        <f t="shared" si="0"/>
        <v>0.16262934616570424</v>
      </c>
      <c r="E14" s="1">
        <f t="shared" si="1"/>
        <v>0.78418453294593937</v>
      </c>
      <c r="F14" s="1">
        <f t="shared" si="2"/>
        <v>0.18893369194430462</v>
      </c>
      <c r="G14" s="1">
        <f t="shared" si="3"/>
        <v>0.53025891879608644</v>
      </c>
    </row>
    <row r="15" spans="1:7" x14ac:dyDescent="0.25">
      <c r="A15" s="1">
        <v>13</v>
      </c>
      <c r="B15" s="1">
        <f t="shared" si="4"/>
        <v>0.22689280275926282</v>
      </c>
      <c r="C15" s="1">
        <f t="shared" si="5"/>
        <v>0.22495105434386498</v>
      </c>
      <c r="D15" s="1">
        <f t="shared" si="0"/>
        <v>0.17287193738206516</v>
      </c>
      <c r="E15" s="1">
        <f t="shared" si="1"/>
        <v>0.8335734150790215</v>
      </c>
      <c r="F15" s="1">
        <f t="shared" si="2"/>
        <v>0.19166978034721865</v>
      </c>
      <c r="G15" s="1">
        <f t="shared" si="3"/>
        <v>0.56365526128967247</v>
      </c>
    </row>
    <row r="16" spans="1:7" x14ac:dyDescent="0.25">
      <c r="A16" s="1">
        <v>14</v>
      </c>
      <c r="B16" s="1">
        <f t="shared" si="4"/>
        <v>0.24434609527920614</v>
      </c>
      <c r="C16" s="1">
        <f t="shared" si="5"/>
        <v>0.24192189559966773</v>
      </c>
      <c r="D16" s="1">
        <f t="shared" si="0"/>
        <v>0.18272239578464028</v>
      </c>
      <c r="E16" s="1">
        <f t="shared" si="1"/>
        <v>0.88107146696109784</v>
      </c>
      <c r="F16" s="1">
        <f t="shared" si="2"/>
        <v>0.19407550082981101</v>
      </c>
      <c r="G16" s="1">
        <f t="shared" si="3"/>
        <v>0.59577304043190216</v>
      </c>
    </row>
    <row r="17" spans="1:7" x14ac:dyDescent="0.25">
      <c r="A17" s="1">
        <v>15</v>
      </c>
      <c r="B17" s="1">
        <f t="shared" si="4"/>
        <v>0.26179938779914941</v>
      </c>
      <c r="C17" s="1">
        <f t="shared" si="5"/>
        <v>0.25881904510252074</v>
      </c>
      <c r="D17" s="1">
        <f t="shared" si="0"/>
        <v>0.19219973911921251</v>
      </c>
      <c r="E17" s="1">
        <f t="shared" si="1"/>
        <v>0.92677039050480636</v>
      </c>
      <c r="F17" s="1">
        <f t="shared" si="2"/>
        <v>0.19620661662321168</v>
      </c>
      <c r="G17" s="1">
        <f t="shared" si="3"/>
        <v>0.62667426427700768</v>
      </c>
    </row>
    <row r="18" spans="1:7" x14ac:dyDescent="0.25">
      <c r="A18" s="1">
        <v>16</v>
      </c>
      <c r="B18" s="1">
        <f t="shared" si="4"/>
        <v>0.27925268031909273</v>
      </c>
      <c r="C18" s="1">
        <f t="shared" si="5"/>
        <v>0.27563735581699916</v>
      </c>
      <c r="D18" s="1">
        <f t="shared" si="0"/>
        <v>0.20132177135950549</v>
      </c>
      <c r="E18" s="1">
        <f t="shared" si="1"/>
        <v>0.97075603491970397</v>
      </c>
      <c r="F18" s="1">
        <f t="shared" si="2"/>
        <v>0.19810700422941449</v>
      </c>
      <c r="G18" s="1">
        <f t="shared" si="3"/>
        <v>0.65641698333112164</v>
      </c>
    </row>
    <row r="19" spans="1:7" x14ac:dyDescent="0.25">
      <c r="A19" s="1">
        <v>17</v>
      </c>
      <c r="B19" s="1">
        <f t="shared" si="4"/>
        <v>0.29670597283903599</v>
      </c>
      <c r="C19" s="1">
        <f t="shared" si="5"/>
        <v>0.29237170472273671</v>
      </c>
      <c r="D19" s="1">
        <f t="shared" si="0"/>
        <v>0.21010517617756902</v>
      </c>
      <c r="E19" s="1">
        <f t="shared" si="1"/>
        <v>1.0131088474183179</v>
      </c>
      <c r="F19" s="1">
        <f t="shared" si="2"/>
        <v>0.19981166005511028</v>
      </c>
      <c r="G19" s="1">
        <f t="shared" si="3"/>
        <v>0.68505559531588089</v>
      </c>
    </row>
    <row r="20" spans="1:7" x14ac:dyDescent="0.25">
      <c r="A20" s="1">
        <v>18</v>
      </c>
      <c r="B20" s="1">
        <f t="shared" si="4"/>
        <v>0.31415926535897931</v>
      </c>
      <c r="C20" s="1">
        <f t="shared" si="5"/>
        <v>0.3090169943749474</v>
      </c>
      <c r="D20" s="1">
        <f t="shared" si="0"/>
        <v>0.21856560192005522</v>
      </c>
      <c r="E20" s="1">
        <f t="shared" si="1"/>
        <v>1.0539042829643439</v>
      </c>
      <c r="F20" s="1">
        <f t="shared" si="2"/>
        <v>0.20134883838377204</v>
      </c>
      <c r="G20" s="1">
        <f t="shared" si="3"/>
        <v>0.71264112223667586</v>
      </c>
    </row>
    <row r="21" spans="1:7" x14ac:dyDescent="0.25">
      <c r="A21" s="1">
        <v>19</v>
      </c>
      <c r="B21" s="1">
        <f t="shared" si="4"/>
        <v>0.33161255787892263</v>
      </c>
      <c r="C21" s="1">
        <f t="shared" si="5"/>
        <v>0.3255681544571567</v>
      </c>
      <c r="D21" s="1">
        <f t="shared" si="0"/>
        <v>0.22671773897494482</v>
      </c>
      <c r="E21" s="1">
        <f t="shared" si="1"/>
        <v>1.093213177328257</v>
      </c>
      <c r="F21" s="1">
        <f t="shared" si="2"/>
        <v>0.20274160003195921</v>
      </c>
      <c r="G21" s="1">
        <f t="shared" si="3"/>
        <v>0.73922146263968525</v>
      </c>
    </row>
    <row r="22" spans="1:7" x14ac:dyDescent="0.25">
      <c r="A22" s="1">
        <v>20</v>
      </c>
      <c r="B22" s="1">
        <f t="shared" si="4"/>
        <v>0.3490658503988659</v>
      </c>
      <c r="C22" s="1">
        <f t="shared" si="5"/>
        <v>0.34202014332566871</v>
      </c>
      <c r="D22" s="1">
        <f t="shared" si="0"/>
        <v>0.23457539030960378</v>
      </c>
      <c r="E22" s="1">
        <f t="shared" si="1"/>
        <v>1.1311020872156718</v>
      </c>
      <c r="F22" s="1">
        <f t="shared" si="2"/>
        <v>0.20400895287927129</v>
      </c>
      <c r="G22" s="1">
        <f t="shared" si="3"/>
        <v>0.76484162160378466</v>
      </c>
    </row>
    <row r="23" spans="1:7" x14ac:dyDescent="0.25">
      <c r="A23" s="1">
        <v>21</v>
      </c>
      <c r="B23" s="1">
        <f t="shared" si="4"/>
        <v>0.36651914291880922</v>
      </c>
      <c r="C23" s="1">
        <f t="shared" si="5"/>
        <v>0.35836794954530027</v>
      </c>
      <c r="D23" s="1">
        <f t="shared" si="0"/>
        <v>0.24215153587083968</v>
      </c>
      <c r="E23" s="1">
        <f t="shared" si="1"/>
        <v>1.1676336007988033</v>
      </c>
      <c r="F23" s="1">
        <f t="shared" si="2"/>
        <v>0.20516670447379562</v>
      </c>
      <c r="G23" s="1">
        <f t="shared" si="3"/>
        <v>0.78954392071928026</v>
      </c>
    </row>
    <row r="24" spans="1:7" x14ac:dyDescent="0.25">
      <c r="A24" s="1">
        <v>22</v>
      </c>
      <c r="B24" s="1">
        <f t="shared" si="4"/>
        <v>0.38397243543875248</v>
      </c>
      <c r="C24" s="1">
        <f t="shared" si="5"/>
        <v>0.37460659341591201</v>
      </c>
      <c r="D24" s="1">
        <f t="shared" si="0"/>
        <v>0.24945839145896526</v>
      </c>
      <c r="E24" s="1">
        <f t="shared" si="1"/>
        <v>1.2028666216020685</v>
      </c>
      <c r="F24" s="1">
        <f t="shared" si="2"/>
        <v>0.20622810808904263</v>
      </c>
      <c r="G24" s="1">
        <f t="shared" si="3"/>
        <v>0.81336819004894256</v>
      </c>
    </row>
    <row r="25" spans="1:7" x14ac:dyDescent="0.25">
      <c r="A25" s="1">
        <v>23</v>
      </c>
      <c r="B25" s="1">
        <f t="shared" si="4"/>
        <v>0.40142572795869574</v>
      </c>
      <c r="C25" s="1">
        <f t="shared" si="5"/>
        <v>0.39073112848927372</v>
      </c>
      <c r="D25" s="1">
        <f t="shared" si="0"/>
        <v>0.25650746261915014</v>
      </c>
      <c r="E25" s="1">
        <f t="shared" si="1"/>
        <v>1.2368566283614881</v>
      </c>
      <c r="F25" s="1">
        <f t="shared" si="2"/>
        <v>0.20720435834355735</v>
      </c>
      <c r="G25" s="1">
        <f t="shared" si="3"/>
        <v>0.83635194384272471</v>
      </c>
    </row>
    <row r="26" spans="1:7" x14ac:dyDescent="0.25">
      <c r="A26" s="1">
        <v>24</v>
      </c>
      <c r="B26" s="1">
        <f t="shared" si="4"/>
        <v>0.41887902047863906</v>
      </c>
      <c r="C26" s="1">
        <f t="shared" si="5"/>
        <v>0.40673664307580015</v>
      </c>
      <c r="D26" s="1">
        <f t="shared" si="0"/>
        <v>0.26330959403316889</v>
      </c>
      <c r="E26" s="1">
        <f t="shared" si="1"/>
        <v>1.2696559131873904</v>
      </c>
      <c r="F26" s="1">
        <f t="shared" si="2"/>
        <v>0.20810497572437581</v>
      </c>
      <c r="G26" s="1">
        <f t="shared" si="3"/>
        <v>0.85853054158136033</v>
      </c>
    </row>
    <row r="27" spans="1:7" x14ac:dyDescent="0.25">
      <c r="A27" s="1">
        <v>25</v>
      </c>
      <c r="B27" s="1">
        <f t="shared" si="4"/>
        <v>0.43633231299858238</v>
      </c>
      <c r="C27" s="1">
        <f t="shared" si="5"/>
        <v>0.42261826174069944</v>
      </c>
      <c r="D27" s="1">
        <f t="shared" si="0"/>
        <v>0.26987501484187271</v>
      </c>
      <c r="E27" s="1">
        <f t="shared" si="1"/>
        <v>1.3013138001054201</v>
      </c>
      <c r="F27" s="1">
        <f t="shared" si="2"/>
        <v>0.20893810802099533</v>
      </c>
      <c r="G27" s="1">
        <f t="shared" si="3"/>
        <v>0.87993733575193644</v>
      </c>
    </row>
    <row r="28" spans="1:7" x14ac:dyDescent="0.25">
      <c r="A28" s="1">
        <v>26</v>
      </c>
      <c r="B28" s="1">
        <f t="shared" si="4"/>
        <v>0.45378560551852565</v>
      </c>
      <c r="C28" s="1">
        <f t="shared" si="5"/>
        <v>0.4383711467890774</v>
      </c>
      <c r="D28" s="1">
        <f t="shared" si="0"/>
        <v>0.27621338028232711</v>
      </c>
      <c r="E28" s="1">
        <f t="shared" si="1"/>
        <v>1.3318768458271866</v>
      </c>
      <c r="F28" s="1">
        <f t="shared" si="2"/>
        <v>0.20971076888807608</v>
      </c>
      <c r="G28" s="1">
        <f t="shared" si="3"/>
        <v>0.90060380760730085</v>
      </c>
    </row>
    <row r="29" spans="1:7" x14ac:dyDescent="0.25">
      <c r="A29" s="1">
        <v>27</v>
      </c>
      <c r="B29" s="1">
        <f t="shared" si="4"/>
        <v>0.47123889803846897</v>
      </c>
      <c r="C29" s="1">
        <f t="shared" si="5"/>
        <v>0.45399049973954675</v>
      </c>
      <c r="D29" s="1">
        <f t="shared" si="0"/>
        <v>0.28233380998271601</v>
      </c>
      <c r="E29" s="1">
        <f t="shared" si="1"/>
        <v>1.3613890244049547</v>
      </c>
      <c r="F29" s="1">
        <f t="shared" si="2"/>
        <v>0.21042902832143118</v>
      </c>
      <c r="G29" s="1">
        <f t="shared" si="3"/>
        <v>0.92055969202799381</v>
      </c>
    </row>
    <row r="30" spans="1:7" x14ac:dyDescent="0.25">
      <c r="A30" s="1">
        <v>28</v>
      </c>
      <c r="B30" s="1">
        <f t="shared" si="4"/>
        <v>0.48869219055841229</v>
      </c>
      <c r="C30" s="1">
        <f t="shared" si="5"/>
        <v>0.46947156278589081</v>
      </c>
      <c r="D30" s="1">
        <f t="shared" si="0"/>
        <v>0.28824492322209339</v>
      </c>
      <c r="E30" s="1">
        <f t="shared" si="1"/>
        <v>1.3898918972510932</v>
      </c>
      <c r="F30" s="1">
        <f t="shared" si="2"/>
        <v>0.21109816598764564</v>
      </c>
      <c r="G30" s="1">
        <f t="shared" si="3"/>
        <v>0.93983309248795632</v>
      </c>
    </row>
    <row r="31" spans="1:7" x14ac:dyDescent="0.25">
      <c r="A31" s="1">
        <v>29</v>
      </c>
      <c r="B31" s="1">
        <f t="shared" si="4"/>
        <v>0.50614548307835561</v>
      </c>
      <c r="C31" s="1">
        <f t="shared" si="5"/>
        <v>0.48480962024633706</v>
      </c>
      <c r="D31" s="1">
        <f t="shared" si="0"/>
        <v>0.29395487143023591</v>
      </c>
      <c r="E31" s="1">
        <f t="shared" si="1"/>
        <v>1.4174247698495319</v>
      </c>
      <c r="F31" s="1">
        <f t="shared" si="2"/>
        <v>0.21172279559254797</v>
      </c>
      <c r="G31" s="1">
        <f t="shared" si="3"/>
        <v>0.95845058702148478</v>
      </c>
    </row>
    <row r="32" spans="1:7" x14ac:dyDescent="0.25">
      <c r="A32" s="1">
        <v>30</v>
      </c>
      <c r="B32" s="1">
        <f t="shared" si="4"/>
        <v>0.52359877559829882</v>
      </c>
      <c r="C32" s="1">
        <f t="shared" si="5"/>
        <v>0.49999999999999994</v>
      </c>
      <c r="D32" s="1">
        <f t="shared" si="0"/>
        <v>0.29947136817468478</v>
      </c>
      <c r="E32" s="1">
        <f t="shared" si="1"/>
        <v>1.4440248363506645</v>
      </c>
      <c r="F32" s="1">
        <f t="shared" si="2"/>
        <v>0.21230696647537436</v>
      </c>
      <c r="G32" s="1">
        <f t="shared" si="3"/>
        <v>0.976437325997076</v>
      </c>
    </row>
    <row r="33" spans="1:7" x14ac:dyDescent="0.25">
      <c r="A33" s="1">
        <v>31</v>
      </c>
      <c r="B33" s="1">
        <f t="shared" si="4"/>
        <v>0.54105206811824214</v>
      </c>
      <c r="C33" s="1">
        <f t="shared" si="5"/>
        <v>0.51503807491005416</v>
      </c>
      <c r="D33" s="1">
        <f t="shared" si="0"/>
        <v>0.30480171685709551</v>
      </c>
      <c r="E33" s="1">
        <f t="shared" si="1"/>
        <v>1.4697273131207318</v>
      </c>
      <c r="F33" s="1">
        <f t="shared" si="2"/>
        <v>0.21285424714970475</v>
      </c>
      <c r="G33" s="1">
        <f t="shared" si="3"/>
        <v>0.99381712242238629</v>
      </c>
    </row>
    <row r="34" spans="1:7" x14ac:dyDescent="0.25">
      <c r="A34" s="1">
        <v>32</v>
      </c>
      <c r="B34" s="1">
        <f t="shared" si="4"/>
        <v>0.55850536063818546</v>
      </c>
      <c r="C34" s="1">
        <f t="shared" si="5"/>
        <v>0.5299192642332049</v>
      </c>
      <c r="D34" s="1">
        <f t="shared" si="0"/>
        <v>0.30995283631884463</v>
      </c>
      <c r="E34" s="1">
        <f t="shared" si="1"/>
        <v>1.4945655622098273</v>
      </c>
      <c r="F34" s="1">
        <f t="shared" si="2"/>
        <v>0.21336779442592582</v>
      </c>
      <c r="G34" s="1">
        <f t="shared" si="3"/>
        <v>1.0106125354322468</v>
      </c>
    </row>
    <row r="35" spans="1:7" x14ac:dyDescent="0.25">
      <c r="A35" s="1">
        <v>33</v>
      </c>
      <c r="B35" s="1">
        <f t="shared" si="4"/>
        <v>0.57595865315812866</v>
      </c>
      <c r="C35" s="1">
        <f t="shared" si="5"/>
        <v>0.54463903501502697</v>
      </c>
      <c r="D35" s="1">
        <f t="shared" si="0"/>
        <v>0.31493128453612995</v>
      </c>
      <c r="E35" s="1">
        <f t="shared" si="1"/>
        <v>1.5185712056076037</v>
      </c>
      <c r="F35" s="1">
        <f t="shared" si="2"/>
        <v>0.21385041093699522</v>
      </c>
      <c r="G35" s="1">
        <f t="shared" si="3"/>
        <v>1.0268449475474024</v>
      </c>
    </row>
    <row r="36" spans="1:7" x14ac:dyDescent="0.25">
      <c r="A36" s="1">
        <v>34</v>
      </c>
      <c r="B36" s="1">
        <f t="shared" si="4"/>
        <v>0.59341194567807198</v>
      </c>
      <c r="C36" s="1">
        <f t="shared" si="5"/>
        <v>0.55919290347074679</v>
      </c>
      <c r="D36" s="1">
        <f t="shared" si="0"/>
        <v>0.31974328056724161</v>
      </c>
      <c r="E36" s="1">
        <f t="shared" si="1"/>
        <v>1.5417742310711025</v>
      </c>
      <c r="F36" s="1">
        <f t="shared" si="2"/>
        <v>0.2143045932753056</v>
      </c>
      <c r="G36" s="1">
        <f t="shared" si="3"/>
        <v>1.0425346362343906</v>
      </c>
    </row>
    <row r="37" spans="1:7" x14ac:dyDescent="0.25">
      <c r="A37" s="1">
        <v>35</v>
      </c>
      <c r="B37" s="1">
        <f t="shared" si="4"/>
        <v>0.6108652381980153</v>
      </c>
      <c r="C37" s="1">
        <f t="shared" si="5"/>
        <v>0.57357643635104605</v>
      </c>
      <c r="D37" s="1">
        <f t="shared" si="0"/>
        <v>0.32439472489902121</v>
      </c>
      <c r="E37" s="1">
        <f t="shared" si="1"/>
        <v>1.5642030902336062</v>
      </c>
      <c r="F37" s="1">
        <f t="shared" si="2"/>
        <v>0.21473257248078079</v>
      </c>
      <c r="G37" s="1">
        <f t="shared" si="3"/>
        <v>1.0577008402459134</v>
      </c>
    </row>
    <row r="38" spans="1:7" x14ac:dyDescent="0.25">
      <c r="A38" s="1">
        <v>36</v>
      </c>
      <c r="B38" s="1">
        <f t="shared" si="4"/>
        <v>0.62831853071795862</v>
      </c>
      <c r="C38" s="1">
        <f t="shared" si="5"/>
        <v>0.58778525229247314</v>
      </c>
      <c r="D38" s="1">
        <f t="shared" si="0"/>
        <v>0.32889121832554069</v>
      </c>
      <c r="E38" s="1">
        <f t="shared" si="1"/>
        <v>1.5858847896359816</v>
      </c>
      <c r="F38" s="1">
        <f t="shared" si="2"/>
        <v>0.21513634826124203</v>
      </c>
      <c r="G38" s="1">
        <f t="shared" si="3"/>
        <v>1.0723618211754593</v>
      </c>
    </row>
    <row r="39" spans="1:7" x14ac:dyDescent="0.25">
      <c r="A39" s="1">
        <v>37</v>
      </c>
      <c r="B39" s="1">
        <f t="shared" si="4"/>
        <v>0.64577182323790194</v>
      </c>
      <c r="C39" s="1">
        <f t="shared" si="5"/>
        <v>0.60181502315204827</v>
      </c>
      <c r="D39" s="1">
        <f t="shared" si="0"/>
        <v>0.33323807947951856</v>
      </c>
      <c r="E39" s="1">
        <f t="shared" si="1"/>
        <v>1.6068449752616423</v>
      </c>
      <c r="F39" s="1">
        <f t="shared" si="2"/>
        <v>0.21551771804825487</v>
      </c>
      <c r="G39" s="1">
        <f t="shared" si="3"/>
        <v>1.0865349206191259</v>
      </c>
    </row>
    <row r="40" spans="1:7" x14ac:dyDescent="0.25">
      <c r="A40" s="1">
        <v>38</v>
      </c>
      <c r="B40" s="1">
        <f t="shared" si="4"/>
        <v>0.66322511575784526</v>
      </c>
      <c r="C40" s="1">
        <f t="shared" si="5"/>
        <v>0.61566147532565829</v>
      </c>
      <c r="D40" s="1">
        <f t="shared" si="0"/>
        <v>0.33744036112578796</v>
      </c>
      <c r="E40" s="1">
        <f t="shared" si="1"/>
        <v>1.6271080111022302</v>
      </c>
      <c r="F40" s="1">
        <f t="shared" si="2"/>
        <v>0.21587830177517528</v>
      </c>
      <c r="G40" s="1">
        <f t="shared" si="3"/>
        <v>1.1002366133010668</v>
      </c>
    </row>
    <row r="41" spans="1:7" x14ac:dyDescent="0.25">
      <c r="A41" s="1">
        <v>39</v>
      </c>
      <c r="B41" s="1">
        <f t="shared" si="4"/>
        <v>0.68067840827778858</v>
      </c>
      <c r="C41" s="1">
        <f t="shared" si="5"/>
        <v>0.6293203910498375</v>
      </c>
      <c r="D41" s="1">
        <f t="shared" si="0"/>
        <v>0.34150286531607699</v>
      </c>
      <c r="E41" s="1">
        <f t="shared" si="1"/>
        <v>1.6466970522326467</v>
      </c>
      <c r="F41" s="1">
        <f t="shared" si="2"/>
        <v>0.21621956309427104</v>
      </c>
      <c r="G41" s="1">
        <f t="shared" si="3"/>
        <v>1.1134825564862059</v>
      </c>
    </row>
    <row r="42" spans="1:7" x14ac:dyDescent="0.25">
      <c r="A42" s="1">
        <v>40</v>
      </c>
      <c r="B42" s="1">
        <f t="shared" si="4"/>
        <v>0.69813170079773179</v>
      </c>
      <c r="C42" s="1">
        <f t="shared" si="5"/>
        <v>0.64278760968653925</v>
      </c>
      <c r="D42" s="1">
        <f t="shared" si="0"/>
        <v>0.34543015749533951</v>
      </c>
      <c r="E42" s="1">
        <f t="shared" si="1"/>
        <v>1.6656341128305494</v>
      </c>
      <c r="F42" s="1">
        <f t="shared" si="2"/>
        <v>0.21654282761569205</v>
      </c>
      <c r="G42" s="1">
        <f t="shared" si="3"/>
        <v>1.1262876359744443</v>
      </c>
    </row>
    <row r="43" spans="1:7" x14ac:dyDescent="0.25">
      <c r="A43" s="1">
        <v>41</v>
      </c>
      <c r="B43" s="1">
        <f t="shared" si="4"/>
        <v>0.71558499331767511</v>
      </c>
      <c r="C43" s="1">
        <f t="shared" si="5"/>
        <v>0.65605902899050728</v>
      </c>
      <c r="D43" s="1">
        <f t="shared" si="0"/>
        <v>0.34922657964175446</v>
      </c>
      <c r="E43" s="1">
        <f t="shared" si="1"/>
        <v>1.6839401295362837</v>
      </c>
      <c r="F43" s="1">
        <f t="shared" si="2"/>
        <v>0.21684929864453836</v>
      </c>
      <c r="G43" s="1">
        <f t="shared" si="3"/>
        <v>1.1386660089441072</v>
      </c>
    </row>
    <row r="44" spans="1:7" x14ac:dyDescent="0.25">
      <c r="A44" s="1">
        <v>42</v>
      </c>
      <c r="B44" s="1">
        <f t="shared" si="4"/>
        <v>0.73303828583761843</v>
      </c>
      <c r="C44" s="1">
        <f t="shared" si="5"/>
        <v>0.66913060635885824</v>
      </c>
      <c r="D44" s="1">
        <f t="shared" si="0"/>
        <v>0.35289626251520745</v>
      </c>
      <c r="E44" s="1">
        <f t="shared" si="1"/>
        <v>1.7016350205139941</v>
      </c>
      <c r="F44" s="1">
        <f t="shared" si="2"/>
        <v>0.21714007080716399</v>
      </c>
      <c r="G44" s="1">
        <f t="shared" si="3"/>
        <v>1.1506311438885657</v>
      </c>
    </row>
    <row r="45" spans="1:7" x14ac:dyDescent="0.25">
      <c r="A45" s="1">
        <v>43</v>
      </c>
      <c r="B45" s="1">
        <f t="shared" si="4"/>
        <v>0.75049157835756175</v>
      </c>
      <c r="C45" s="1">
        <f t="shared" si="5"/>
        <v>0.68199836006249848</v>
      </c>
      <c r="D45" s="1">
        <f t="shared" si="0"/>
        <v>0.35644313708247904</v>
      </c>
      <c r="E45" s="1">
        <f t="shared" si="1"/>
        <v>1.7187377405428854</v>
      </c>
      <c r="F45" s="1">
        <f t="shared" si="2"/>
        <v>0.21741614188948052</v>
      </c>
      <c r="G45" s="1">
        <f t="shared" si="3"/>
        <v>1.1621958578684795</v>
      </c>
    </row>
    <row r="46" spans="1:7" x14ac:dyDescent="0.25">
      <c r="A46" s="1">
        <v>44</v>
      </c>
      <c r="B46" s="1">
        <f t="shared" si="4"/>
        <v>0.76794487087750496</v>
      </c>
      <c r="C46" s="1">
        <f t="shared" si="5"/>
        <v>0.69465837045899725</v>
      </c>
      <c r="D46" s="1">
        <f t="shared" si="0"/>
        <v>0.35987094518142115</v>
      </c>
      <c r="E46" s="1">
        <f t="shared" si="1"/>
        <v>1.735266332438953</v>
      </c>
      <c r="F46" s="1">
        <f t="shared" si="2"/>
        <v>0.21767842315480895</v>
      </c>
      <c r="G46" s="1">
        <f t="shared" si="3"/>
        <v>1.1733723512827339</v>
      </c>
    </row>
    <row r="47" spans="1:7" x14ac:dyDescent="0.25">
      <c r="A47" s="1">
        <v>45</v>
      </c>
      <c r="B47" s="1">
        <f t="shared" si="4"/>
        <v>0.78539816339744828</v>
      </c>
      <c r="C47" s="1">
        <f t="shared" si="5"/>
        <v>0.70710678118654746</v>
      </c>
      <c r="D47" s="1">
        <f t="shared" si="0"/>
        <v>0.36318324948102831</v>
      </c>
      <c r="E47" s="1">
        <f t="shared" si="1"/>
        <v>1.7512379750815772</v>
      </c>
      <c r="F47" s="1">
        <f t="shared" si="2"/>
        <v>0.21792774836401455</v>
      </c>
      <c r="G47" s="1">
        <f t="shared" si="3"/>
        <v>1.1841722403436157</v>
      </c>
    </row>
    <row r="48" spans="1:7" x14ac:dyDescent="0.25">
      <c r="A48" s="1">
        <v>46</v>
      </c>
      <c r="B48" s="1">
        <f t="shared" si="4"/>
        <v>0.80285145591739149</v>
      </c>
      <c r="C48" s="1">
        <f t="shared" si="5"/>
        <v>0.71933980033865108</v>
      </c>
      <c r="D48" s="1">
        <f t="shared" si="0"/>
        <v>0.36638344278945417</v>
      </c>
      <c r="E48" s="1">
        <f t="shared" si="1"/>
        <v>1.7666690282959687</v>
      </c>
      <c r="F48" s="1">
        <f t="shared" si="2"/>
        <v>0.21816488168411718</v>
      </c>
      <c r="G48" s="1">
        <f t="shared" si="3"/>
        <v>1.1946065874259395</v>
      </c>
    </row>
    <row r="49" spans="1:7" x14ac:dyDescent="0.25">
      <c r="A49" s="1">
        <v>47</v>
      </c>
      <c r="B49" s="1">
        <f t="shared" si="4"/>
        <v>0.82030474843733492</v>
      </c>
      <c r="C49" s="1">
        <f t="shared" si="5"/>
        <v>0.73135370161917046</v>
      </c>
      <c r="D49" s="1">
        <f t="shared" si="0"/>
        <v>0.36947475675762015</v>
      </c>
      <c r="E49" s="1">
        <f t="shared" si="1"/>
        <v>1.7815750748212096</v>
      </c>
      <c r="F49" s="1">
        <f t="shared" si="2"/>
        <v>0.21839052464163453</v>
      </c>
      <c r="G49" s="1">
        <f t="shared" si="3"/>
        <v>1.2046859294454835</v>
      </c>
    </row>
    <row r="50" spans="1:7" x14ac:dyDescent="0.25">
      <c r="A50" s="1">
        <v>48</v>
      </c>
      <c r="B50" s="1">
        <f t="shared" si="4"/>
        <v>0.83775804095727813</v>
      </c>
      <c r="C50" s="1">
        <f t="shared" si="5"/>
        <v>0.74314482547739413</v>
      </c>
      <c r="D50" s="1">
        <f t="shared" si="0"/>
        <v>0.37246027002207455</v>
      </c>
      <c r="E50" s="1">
        <f t="shared" si="1"/>
        <v>1.7959709595744116</v>
      </c>
      <c r="F50" s="1">
        <f t="shared" si="2"/>
        <v>0.21860532225228654</v>
      </c>
      <c r="G50" s="1">
        <f t="shared" si="3"/>
        <v>1.2144203044090767</v>
      </c>
    </row>
    <row r="51" spans="1:7" x14ac:dyDescent="0.25">
      <c r="A51" s="1">
        <v>49</v>
      </c>
      <c r="B51" s="1">
        <f t="shared" si="4"/>
        <v>0.85521133347722134</v>
      </c>
      <c r="C51" s="1">
        <f t="shared" si="5"/>
        <v>0.7547095802227719</v>
      </c>
      <c r="D51" s="1">
        <f t="shared" si="0"/>
        <v>0.37534291582713714</v>
      </c>
      <c r="E51" s="1">
        <f t="shared" si="1"/>
        <v>1.8098708264040322</v>
      </c>
      <c r="F51" s="1">
        <f t="shared" si="2"/>
        <v>0.21880986843834407</v>
      </c>
      <c r="G51" s="1">
        <f t="shared" si="3"/>
        <v>1.2238192762668809</v>
      </c>
    </row>
    <row r="52" spans="1:7" x14ac:dyDescent="0.25">
      <c r="A52" s="1">
        <v>50</v>
      </c>
      <c r="B52" s="1">
        <f t="shared" si="4"/>
        <v>0.87266462599716477</v>
      </c>
      <c r="C52" s="1">
        <f t="shared" si="5"/>
        <v>0.76604444311897801</v>
      </c>
      <c r="D52" s="1">
        <f t="shared" si="0"/>
        <v>0.37812548916307553</v>
      </c>
      <c r="E52" s="1">
        <f t="shared" si="1"/>
        <v>1.8232881525095395</v>
      </c>
      <c r="F52" s="1">
        <f t="shared" si="2"/>
        <v>0.21900471082802656</v>
      </c>
      <c r="G52" s="1">
        <f t="shared" si="3"/>
        <v>1.2328919581866749</v>
      </c>
    </row>
    <row r="53" spans="1:7" x14ac:dyDescent="0.25">
      <c r="A53" s="1">
        <v>51</v>
      </c>
      <c r="B53" s="1">
        <f t="shared" si="4"/>
        <v>0.89011791851710798</v>
      </c>
      <c r="C53" s="1">
        <f t="shared" si="5"/>
        <v>0.77714596145697079</v>
      </c>
      <c r="D53" s="1">
        <f t="shared" si="0"/>
        <v>0.38081065345406351</v>
      </c>
      <c r="E53" s="1">
        <f t="shared" si="1"/>
        <v>1.8362357806901635</v>
      </c>
      <c r="F53" s="1">
        <f t="shared" si="2"/>
        <v>0.21919035501730152</v>
      </c>
      <c r="G53" s="1">
        <f t="shared" si="3"/>
        <v>1.2416470343601866</v>
      </c>
    </row>
    <row r="54" spans="1:7" x14ac:dyDescent="0.25">
      <c r="A54" s="1">
        <v>52</v>
      </c>
      <c r="B54" s="1">
        <f t="shared" si="4"/>
        <v>0.9075712110370513</v>
      </c>
      <c r="C54" s="1">
        <f t="shared" si="5"/>
        <v>0.7880107536067219</v>
      </c>
      <c r="D54" s="1">
        <f t="shared" si="0"/>
        <v>0.38340094682694936</v>
      </c>
      <c r="E54" s="1">
        <f t="shared" si="1"/>
        <v>1.8487259495723514</v>
      </c>
      <c r="F54" s="1">
        <f t="shared" si="2"/>
        <v>0.2193672683626961</v>
      </c>
      <c r="G54" s="1">
        <f t="shared" si="3"/>
        <v>1.2500927804426412</v>
      </c>
    </row>
    <row r="55" spans="1:7" x14ac:dyDescent="0.25">
      <c r="A55" s="1">
        <v>53</v>
      </c>
      <c r="B55" s="1">
        <f t="shared" si="4"/>
        <v>0.92502450355699462</v>
      </c>
      <c r="C55" s="1">
        <f t="shared" si="5"/>
        <v>0.79863551004729283</v>
      </c>
      <c r="D55" s="1">
        <f t="shared" si="0"/>
        <v>0.38589878798937405</v>
      </c>
      <c r="E55" s="1">
        <f t="shared" si="1"/>
        <v>1.8607703219535412</v>
      </c>
      <c r="F55" s="1">
        <f t="shared" si="2"/>
        <v>0.21953588336388061</v>
      </c>
      <c r="G55" s="1">
        <f t="shared" si="3"/>
        <v>1.2582370827185791</v>
      </c>
    </row>
    <row r="56" spans="1:7" x14ac:dyDescent="0.25">
      <c r="A56" s="1">
        <v>54</v>
      </c>
      <c r="B56" s="1">
        <f t="shared" si="4"/>
        <v>0.94247779607693793</v>
      </c>
      <c r="C56" s="1">
        <f t="shared" si="5"/>
        <v>0.80901699437494745</v>
      </c>
      <c r="D56" s="1">
        <f t="shared" si="0"/>
        <v>0.38830648174351651</v>
      </c>
      <c r="E56" s="1">
        <f t="shared" si="1"/>
        <v>1.8723800113889599</v>
      </c>
      <c r="F56" s="1">
        <f t="shared" si="2"/>
        <v>0.21969660068649871</v>
      </c>
      <c r="G56" s="1">
        <f t="shared" si="3"/>
        <v>1.2660874560796258</v>
      </c>
    </row>
    <row r="57" spans="1:7" x14ac:dyDescent="0.25">
      <c r="A57" s="1">
        <v>55</v>
      </c>
      <c r="B57" s="1">
        <f t="shared" si="4"/>
        <v>0.95993108859688125</v>
      </c>
      <c r="C57" s="1">
        <f t="shared" si="5"/>
        <v>0.8191520442889918</v>
      </c>
      <c r="D57" s="1">
        <f t="shared" si="0"/>
        <v>0.39062622415966802</v>
      </c>
      <c r="E57" s="1">
        <f t="shared" si="1"/>
        <v>1.8835656071381501</v>
      </c>
      <c r="F57" s="1">
        <f t="shared" si="2"/>
        <v>0.2198497918687195</v>
      </c>
      <c r="G57" s="1">
        <f t="shared" si="3"/>
        <v>1.2736510608931175</v>
      </c>
    </row>
    <row r="58" spans="1:7" x14ac:dyDescent="0.25">
      <c r="A58" s="1">
        <v>56</v>
      </c>
      <c r="B58" s="1">
        <f t="shared" si="4"/>
        <v>0.97738438111682457</v>
      </c>
      <c r="C58" s="1">
        <f t="shared" si="5"/>
        <v>0.82903757255504174</v>
      </c>
      <c r="D58" s="1">
        <f t="shared" si="0"/>
        <v>0.39286010743195054</v>
      </c>
      <c r="E58" s="1">
        <f t="shared" si="1"/>
        <v>1.8943371975788184</v>
      </c>
      <c r="F58" s="1">
        <f t="shared" si="2"/>
        <v>0.21999580174906261</v>
      </c>
      <c r="G58" s="1">
        <f t="shared" si="3"/>
        <v>1.2809347188343494</v>
      </c>
    </row>
    <row r="59" spans="1:7" x14ac:dyDescent="0.25">
      <c r="A59" s="1">
        <v>57</v>
      </c>
      <c r="B59" s="1">
        <f t="shared" si="4"/>
        <v>0.99483767363676778</v>
      </c>
      <c r="C59" s="1">
        <f t="shared" si="5"/>
        <v>0.83867056794542394</v>
      </c>
      <c r="D59" s="1">
        <f t="shared" si="0"/>
        <v>0.39501012443675565</v>
      </c>
      <c r="E59" s="1">
        <f t="shared" si="1"/>
        <v>1.904704392187232</v>
      </c>
      <c r="F59" s="1">
        <f t="shared" si="2"/>
        <v>0.22013495064801303</v>
      </c>
      <c r="G59" s="1">
        <f t="shared" si="3"/>
        <v>1.2879449277495321</v>
      </c>
    </row>
    <row r="60" spans="1:7" x14ac:dyDescent="0.25">
      <c r="A60" s="1">
        <v>58</v>
      </c>
      <c r="B60" s="1">
        <f t="shared" si="4"/>
        <v>1.0122909661567112</v>
      </c>
      <c r="C60" s="1">
        <f t="shared" si="5"/>
        <v>0.84804809615642596</v>
      </c>
      <c r="D60" s="1">
        <f t="shared" si="0"/>
        <v>0.39707817301289727</v>
      </c>
      <c r="E60" s="1">
        <f t="shared" si="1"/>
        <v>1.9146763421767421</v>
      </c>
      <c r="F60" s="1">
        <f t="shared" si="2"/>
        <v>0.22026753633165322</v>
      </c>
      <c r="G60" s="1">
        <f t="shared" si="3"/>
        <v>1.2946878756113855</v>
      </c>
    </row>
    <row r="61" spans="1:7" x14ac:dyDescent="0.25">
      <c r="A61" s="1">
        <v>59</v>
      </c>
      <c r="B61" s="1">
        <f t="shared" si="4"/>
        <v>1.0297442586766543</v>
      </c>
      <c r="C61" s="1">
        <f t="shared" si="5"/>
        <v>0.85716730070211222</v>
      </c>
      <c r="D61" s="1">
        <f t="shared" si="0"/>
        <v>0.39906605998101563</v>
      </c>
      <c r="E61" s="1">
        <f t="shared" si="1"/>
        <v>1.9242617598789991</v>
      </c>
      <c r="F61" s="1">
        <f t="shared" si="2"/>
        <v>0.22039383578187477</v>
      </c>
      <c r="G61" s="1">
        <f t="shared" si="3"/>
        <v>1.3011694536245519</v>
      </c>
    </row>
    <row r="62" spans="1:7" x14ac:dyDescent="0.25">
      <c r="A62" s="1">
        <v>60</v>
      </c>
      <c r="B62" s="1">
        <f t="shared" si="4"/>
        <v>1.0471975511965976</v>
      </c>
      <c r="C62" s="1">
        <f t="shared" si="5"/>
        <v>0.8660254037844386</v>
      </c>
      <c r="D62" s="1">
        <f t="shared" si="0"/>
        <v>0.4009755049184322</v>
      </c>
      <c r="E62" s="1">
        <f t="shared" si="1"/>
        <v>1.9334689369459739</v>
      </c>
      <c r="F62" s="1">
        <f t="shared" si="2"/>
        <v>0.22051410679459399</v>
      </c>
      <c r="G62" s="1">
        <f t="shared" si="3"/>
        <v>1.3073952685336492</v>
      </c>
    </row>
    <row r="63" spans="1:7" x14ac:dyDescent="0.25">
      <c r="A63" s="1">
        <v>61</v>
      </c>
      <c r="B63" s="1">
        <f t="shared" si="4"/>
        <v>1.064650843716541</v>
      </c>
      <c r="C63" s="1">
        <f t="shared" si="5"/>
        <v>0.87461970713939574</v>
      </c>
      <c r="D63" s="1">
        <f t="shared" si="0"/>
        <v>0.40280814370442769</v>
      </c>
      <c r="E63" s="1">
        <f t="shared" si="1"/>
        <v>1.9423057614449803</v>
      </c>
      <c r="F63" s="1">
        <f t="shared" si="2"/>
        <v>0.22062858942469629</v>
      </c>
      <c r="G63" s="1">
        <f t="shared" si="3"/>
        <v>1.3133706541827779</v>
      </c>
    </row>
    <row r="64" spans="1:7" x14ac:dyDescent="0.25">
      <c r="A64" s="1">
        <v>62</v>
      </c>
      <c r="B64" s="1">
        <f t="shared" si="4"/>
        <v>1.0821041362364843</v>
      </c>
      <c r="C64" s="1">
        <f t="shared" si="5"/>
        <v>0.88294759285892688</v>
      </c>
      <c r="D64" s="1">
        <f t="shared" si="0"/>
        <v>0.40456553184978816</v>
      </c>
      <c r="E64" s="1">
        <f t="shared" si="1"/>
        <v>1.9507797339134552</v>
      </c>
      <c r="F64" s="1">
        <f t="shared" si="2"/>
        <v>0.22073750729411201</v>
      </c>
      <c r="G64" s="1">
        <f t="shared" si="3"/>
        <v>1.3191006823716289</v>
      </c>
    </row>
    <row r="65" spans="1:7" x14ac:dyDescent="0.25">
      <c r="A65" s="1">
        <v>63</v>
      </c>
      <c r="B65" s="1">
        <f t="shared" si="4"/>
        <v>1.0995574287564276</v>
      </c>
      <c r="C65" s="1">
        <f t="shared" si="5"/>
        <v>0.89100652418836779</v>
      </c>
      <c r="D65" s="1">
        <f t="shared" si="0"/>
        <v>0.40624914762342262</v>
      </c>
      <c r="E65" s="1">
        <f t="shared" si="1"/>
        <v>1.9588979824352362</v>
      </c>
      <c r="F65" s="1">
        <f t="shared" si="2"/>
        <v>0.22084106877742143</v>
      </c>
      <c r="G65" s="1">
        <f t="shared" si="3"/>
        <v>1.3245901730499339</v>
      </c>
    </row>
    <row r="66" spans="1:7" x14ac:dyDescent="0.25">
      <c r="A66" s="1">
        <v>64</v>
      </c>
      <c r="B66" s="1">
        <f t="shared" si="4"/>
        <v>1.1170107212763709</v>
      </c>
      <c r="C66" s="1">
        <f t="shared" si="5"/>
        <v>0.89879404629916704</v>
      </c>
      <c r="D66" s="1">
        <f t="shared" si="0"/>
        <v>0.40786039498789423</v>
      </c>
      <c r="E66" s="1">
        <f t="shared" si="1"/>
        <v>1.9666672767954381</v>
      </c>
      <c r="F66" s="1">
        <f t="shared" si="2"/>
        <v>0.22093946807764733</v>
      </c>
      <c r="G66" s="1">
        <f t="shared" si="3"/>
        <v>1.3298437038888713</v>
      </c>
    </row>
    <row r="67" spans="1:7" x14ac:dyDescent="0.25">
      <c r="A67" s="1">
        <v>65</v>
      </c>
      <c r="B67" s="1">
        <f t="shared" si="4"/>
        <v>1.1344640137963142</v>
      </c>
      <c r="C67" s="1">
        <f t="shared" si="5"/>
        <v>0.90630778703664994</v>
      </c>
      <c r="D67" s="1">
        <f t="shared" ref="D67:D130" si="6">C67/(1+Kv_acmin*ABS(C67))</f>
        <v>0.40940060635482878</v>
      </c>
      <c r="E67" s="1">
        <f t="shared" ref="E67:E130" si="7">Ip_pk_min*D67</f>
        <v>1.9740940417667918</v>
      </c>
      <c r="F67" s="1">
        <f t="shared" ref="F67:F130" si="8">E67/(1+Kv_acmax*ABS(E67))</f>
        <v>0.22103288620339001</v>
      </c>
      <c r="G67" s="1">
        <f t="shared" ref="G67:G130" si="9">Ip_pk_max*D67</f>
        <v>1.3348656192651773</v>
      </c>
    </row>
    <row r="68" spans="1:7" x14ac:dyDescent="0.25">
      <c r="A68" s="1">
        <v>66</v>
      </c>
      <c r="B68" s="1">
        <f t="shared" ref="B68:B131" si="10">A68/360*PI()*2</f>
        <v>1.1519173063162573</v>
      </c>
      <c r="C68" s="1">
        <f t="shared" ref="C68:C131" si="11">SIN(B68)</f>
        <v>0.91354545764260087</v>
      </c>
      <c r="D68" s="1">
        <f t="shared" si="6"/>
        <v>0.41087104517034057</v>
      </c>
      <c r="E68" s="1">
        <f t="shared" si="7"/>
        <v>1.9811843695763423</v>
      </c>
      <c r="F68" s="1">
        <f t="shared" si="8"/>
        <v>0.22112149185714752</v>
      </c>
      <c r="G68" s="1">
        <f t="shared" si="9"/>
        <v>1.3396600386910209</v>
      </c>
    </row>
    <row r="69" spans="1:7" x14ac:dyDescent="0.25">
      <c r="A69" s="1">
        <v>67</v>
      </c>
      <c r="B69" s="1">
        <f t="shared" si="10"/>
        <v>1.1693705988362009</v>
      </c>
      <c r="C69" s="1">
        <f t="shared" si="11"/>
        <v>0.92050485345244037</v>
      </c>
      <c r="D69" s="1">
        <f t="shared" si="6"/>
        <v>0.41227290833986346</v>
      </c>
      <c r="E69" s="1">
        <f t="shared" si="7"/>
        <v>1.987944031597773</v>
      </c>
      <c r="F69" s="1">
        <f t="shared" si="8"/>
        <v>0.22120544224352129</v>
      </c>
      <c r="G69" s="1">
        <f t="shared" si="9"/>
        <v>1.3442308647202534</v>
      </c>
    </row>
    <row r="70" spans="1:7" x14ac:dyDescent="0.25">
      <c r="A70" s="1">
        <v>68</v>
      </c>
      <c r="B70" s="1">
        <f t="shared" si="10"/>
        <v>1.186823891356144</v>
      </c>
      <c r="C70" s="1">
        <f t="shared" si="11"/>
        <v>0.92718385456678731</v>
      </c>
      <c r="D70" s="1">
        <f t="shared" si="6"/>
        <v>0.4136073285010734</v>
      </c>
      <c r="E70" s="1">
        <f t="shared" si="7"/>
        <v>1.9943784893112402</v>
      </c>
      <c r="F70" s="1">
        <f t="shared" si="8"/>
        <v>0.22128488380501043</v>
      </c>
      <c r="G70" s="1">
        <f t="shared" si="9"/>
        <v>1.3485817903593562</v>
      </c>
    </row>
    <row r="71" spans="1:7" x14ac:dyDescent="0.25">
      <c r="A71" s="1">
        <v>69</v>
      </c>
      <c r="B71" s="1">
        <f t="shared" si="10"/>
        <v>1.2042771838760875</v>
      </c>
      <c r="C71" s="1">
        <f t="shared" si="11"/>
        <v>0.93358042649720174</v>
      </c>
      <c r="D71" s="1">
        <f t="shared" si="6"/>
        <v>0.41487537615294001</v>
      </c>
      <c r="E71" s="1">
        <f t="shared" si="7"/>
        <v>2.0004929045694744</v>
      </c>
      <c r="F71" s="1">
        <f t="shared" si="8"/>
        <v>0.22135995289222279</v>
      </c>
      <c r="G71" s="1">
        <f t="shared" si="9"/>
        <v>1.3527163060092906</v>
      </c>
    </row>
    <row r="72" spans="1:7" x14ac:dyDescent="0.25">
      <c r="A72" s="1">
        <v>70</v>
      </c>
      <c r="B72" s="1">
        <f t="shared" si="10"/>
        <v>1.2217304763960306</v>
      </c>
      <c r="C72" s="1">
        <f t="shared" si="11"/>
        <v>0.93969262078590832</v>
      </c>
      <c r="D72" s="1">
        <f t="shared" si="6"/>
        <v>0.41607806164834227</v>
      </c>
      <c r="E72" s="1">
        <f t="shared" si="7"/>
        <v>2.0062921492059984</v>
      </c>
      <c r="F72" s="1">
        <f t="shared" si="8"/>
        <v>0.22143077637456424</v>
      </c>
      <c r="G72" s="1">
        <f t="shared" si="9"/>
        <v>1.3566377059624941</v>
      </c>
    </row>
    <row r="73" spans="1:7" x14ac:dyDescent="0.25">
      <c r="A73" s="1">
        <v>71</v>
      </c>
      <c r="B73" s="1">
        <f t="shared" si="10"/>
        <v>1.2391837689159739</v>
      </c>
      <c r="C73" s="1">
        <f t="shared" si="11"/>
        <v>0.94551857559931674</v>
      </c>
      <c r="D73" s="1">
        <f t="shared" si="6"/>
        <v>0.41721633705712247</v>
      </c>
      <c r="E73" s="1">
        <f t="shared" si="7"/>
        <v>2.0117808140186124</v>
      </c>
      <c r="F73" s="1">
        <f t="shared" si="8"/>
        <v>0.22149747219679242</v>
      </c>
      <c r="G73" s="1">
        <f t="shared" si="9"/>
        <v>1.3603490944774366</v>
      </c>
    </row>
    <row r="74" spans="1:7" x14ac:dyDescent="0.25">
      <c r="A74" s="1">
        <v>72</v>
      </c>
      <c r="B74" s="1">
        <f t="shared" si="10"/>
        <v>1.2566370614359172</v>
      </c>
      <c r="C74" s="1">
        <f t="shared" si="11"/>
        <v>0.95105651629515353</v>
      </c>
      <c r="D74" s="1">
        <f t="shared" si="6"/>
        <v>0.41829109790593183</v>
      </c>
      <c r="E74" s="1">
        <f t="shared" si="7"/>
        <v>2.0169632171587777</v>
      </c>
      <c r="F74" s="1">
        <f t="shared" si="8"/>
        <v>0.22156014988622677</v>
      </c>
      <c r="G74" s="1">
        <f t="shared" si="9"/>
        <v>1.3638533914514483</v>
      </c>
    </row>
    <row r="75" spans="1:7" x14ac:dyDescent="0.25">
      <c r="A75" s="1">
        <v>73</v>
      </c>
      <c r="B75" s="1">
        <f t="shared" si="10"/>
        <v>1.2740903539558606</v>
      </c>
      <c r="C75" s="1">
        <f t="shared" si="11"/>
        <v>0.95630475596303544</v>
      </c>
      <c r="D75" s="1">
        <f t="shared" si="6"/>
        <v>0.41930318480073353</v>
      </c>
      <c r="E75" s="1">
        <f t="shared" si="7"/>
        <v>2.0218434119551838</v>
      </c>
      <c r="F75" s="1">
        <f t="shared" si="8"/>
        <v>0.22161891101487952</v>
      </c>
      <c r="G75" s="1">
        <f t="shared" si="9"/>
        <v>1.3671533377109533</v>
      </c>
    </row>
    <row r="76" spans="1:7" x14ac:dyDescent="0.25">
      <c r="A76" s="1">
        <v>74</v>
      </c>
      <c r="B76" s="1">
        <f t="shared" si="10"/>
        <v>1.2915436464758039</v>
      </c>
      <c r="C76" s="1">
        <f t="shared" si="11"/>
        <v>0.96126169593831889</v>
      </c>
      <c r="D76" s="1">
        <f t="shared" si="6"/>
        <v>0.42025338493737646</v>
      </c>
      <c r="E76" s="1">
        <f t="shared" si="7"/>
        <v>2.0264251941976044</v>
      </c>
      <c r="F76" s="1">
        <f t="shared" si="8"/>
        <v>0.22167384962030806</v>
      </c>
      <c r="G76" s="1">
        <f t="shared" si="9"/>
        <v>1.3702514999367474</v>
      </c>
    </row>
    <row r="77" spans="1:7" x14ac:dyDescent="0.25">
      <c r="A77" s="1">
        <v>75</v>
      </c>
      <c r="B77" s="1">
        <f t="shared" si="10"/>
        <v>1.3089969389957472</v>
      </c>
      <c r="C77" s="1">
        <f t="shared" si="11"/>
        <v>0.96592582628906831</v>
      </c>
      <c r="D77" s="1">
        <f t="shared" si="6"/>
        <v>0.42114243350522607</v>
      </c>
      <c r="E77" s="1">
        <f t="shared" si="7"/>
        <v>2.030712108905083</v>
      </c>
      <c r="F77" s="1">
        <f t="shared" si="8"/>
        <v>0.22172505258857389</v>
      </c>
      <c r="G77" s="1">
        <f t="shared" si="9"/>
        <v>1.3731502752405895</v>
      </c>
    </row>
    <row r="78" spans="1:7" x14ac:dyDescent="0.25">
      <c r="A78" s="1">
        <v>76</v>
      </c>
      <c r="B78" s="1">
        <f t="shared" si="10"/>
        <v>1.3264502315156905</v>
      </c>
      <c r="C78" s="1">
        <f t="shared" si="11"/>
        <v>0.97029572627599647</v>
      </c>
      <c r="D78" s="1">
        <f t="shared" si="6"/>
        <v>0.42197101498844014</v>
      </c>
      <c r="E78" s="1">
        <f t="shared" si="7"/>
        <v>2.0347074566005712</v>
      </c>
      <c r="F78" s="1">
        <f t="shared" si="8"/>
        <v>0.22177260000232588</v>
      </c>
      <c r="G78" s="1">
        <f t="shared" si="9"/>
        <v>1.3758518954080585</v>
      </c>
    </row>
    <row r="79" spans="1:7" x14ac:dyDescent="0.25">
      <c r="A79" s="1">
        <v>77</v>
      </c>
      <c r="B79" s="1">
        <f t="shared" si="10"/>
        <v>1.3439035240356336</v>
      </c>
      <c r="C79" s="1">
        <f t="shared" si="11"/>
        <v>0.97437006478523525</v>
      </c>
      <c r="D79" s="1">
        <f t="shared" si="6"/>
        <v>0.42273976436910637</v>
      </c>
      <c r="E79" s="1">
        <f t="shared" si="7"/>
        <v>2.0384142991123526</v>
      </c>
      <c r="F79" s="1">
        <f t="shared" si="8"/>
        <v>0.22181656545669678</v>
      </c>
      <c r="G79" s="1">
        <f t="shared" si="9"/>
        <v>1.3783584308214265</v>
      </c>
    </row>
    <row r="80" spans="1:7" x14ac:dyDescent="0.25">
      <c r="A80" s="1">
        <v>78</v>
      </c>
      <c r="B80" s="1">
        <f t="shared" si="10"/>
        <v>1.3613568165555772</v>
      </c>
      <c r="C80" s="1">
        <f t="shared" si="11"/>
        <v>0.97814760073380569</v>
      </c>
      <c r="D80" s="1">
        <f t="shared" si="6"/>
        <v>0.42344926823610168</v>
      </c>
      <c r="E80" s="1">
        <f t="shared" si="7"/>
        <v>2.0418354649208661</v>
      </c>
      <c r="F80" s="1">
        <f t="shared" si="8"/>
        <v>0.22185701634540689</v>
      </c>
      <c r="G80" s="1">
        <f t="shared" si="9"/>
        <v>1.3806717940751363</v>
      </c>
    </row>
    <row r="81" spans="1:7" x14ac:dyDescent="0.25">
      <c r="A81" s="1">
        <v>79</v>
      </c>
      <c r="B81" s="1">
        <f t="shared" si="10"/>
        <v>1.3788101090755203</v>
      </c>
      <c r="C81" s="1">
        <f t="shared" si="11"/>
        <v>0.98162718344766398</v>
      </c>
      <c r="D81" s="1">
        <f t="shared" si="6"/>
        <v>0.42410006580320386</v>
      </c>
      <c r="E81" s="1">
        <f t="shared" si="7"/>
        <v>2.0449735540679526</v>
      </c>
      <c r="F81" s="1">
        <f t="shared" si="8"/>
        <v>0.22189401411920462</v>
      </c>
      <c r="G81" s="1">
        <f t="shared" si="9"/>
        <v>1.3827937432953903</v>
      </c>
    </row>
    <row r="82" spans="1:7" x14ac:dyDescent="0.25">
      <c r="A82" s="1">
        <v>80</v>
      </c>
      <c r="B82" s="1">
        <f t="shared" si="10"/>
        <v>1.3962634015954636</v>
      </c>
      <c r="C82" s="1">
        <f t="shared" si="11"/>
        <v>0.98480775301220802</v>
      </c>
      <c r="D82" s="1">
        <f t="shared" si="6"/>
        <v>0.42469264983967203</v>
      </c>
      <c r="E82" s="1">
        <f t="shared" si="7"/>
        <v>2.0478309426440311</v>
      </c>
      <c r="F82" s="1">
        <f t="shared" si="8"/>
        <v>0.22192761451853632</v>
      </c>
      <c r="G82" s="1">
        <f t="shared" si="9"/>
        <v>1.3847258851743427</v>
      </c>
    </row>
    <row r="83" spans="1:7" x14ac:dyDescent="0.25">
      <c r="A83" s="1">
        <v>81</v>
      </c>
      <c r="B83" s="1">
        <f t="shared" si="10"/>
        <v>1.4137166941154069</v>
      </c>
      <c r="C83" s="1">
        <f t="shared" si="11"/>
        <v>0.98768834059513777</v>
      </c>
      <c r="D83" s="1">
        <f t="shared" si="6"/>
        <v>0.42522746751621326</v>
      </c>
      <c r="E83" s="1">
        <f t="shared" si="7"/>
        <v>2.0504097868672773</v>
      </c>
      <c r="F83" s="1">
        <f t="shared" si="8"/>
        <v>0.22195786778212012</v>
      </c>
      <c r="G83" s="1">
        <f t="shared" si="9"/>
        <v>1.3864696777284051</v>
      </c>
    </row>
    <row r="84" spans="1:7" x14ac:dyDescent="0.25">
      <c r="A84" s="1">
        <v>82</v>
      </c>
      <c r="B84" s="1">
        <f t="shared" si="10"/>
        <v>1.4311699866353502</v>
      </c>
      <c r="C84" s="1">
        <f t="shared" si="11"/>
        <v>0.99026806874157036</v>
      </c>
      <c r="D84" s="1">
        <f t="shared" si="6"/>
        <v>0.42570492116896941</v>
      </c>
      <c r="E84" s="1">
        <f t="shared" si="7"/>
        <v>2.0527120267675008</v>
      </c>
      <c r="F84" s="1">
        <f t="shared" si="8"/>
        <v>0.22198481883290555</v>
      </c>
      <c r="G84" s="1">
        <f t="shared" si="9"/>
        <v>1.3880264327892522</v>
      </c>
    </row>
    <row r="85" spans="1:7" x14ac:dyDescent="0.25">
      <c r="A85" s="1">
        <v>83</v>
      </c>
      <c r="B85" s="1">
        <f t="shared" si="10"/>
        <v>1.4486232791552935</v>
      </c>
      <c r="C85" s="1">
        <f t="shared" si="11"/>
        <v>0.99254615164132198</v>
      </c>
      <c r="D85" s="1">
        <f t="shared" si="6"/>
        <v>0.42612536898388931</v>
      </c>
      <c r="E85" s="1">
        <f t="shared" si="7"/>
        <v>2.0547393894861279</v>
      </c>
      <c r="F85" s="1">
        <f t="shared" si="8"/>
        <v>0.22200850744271935</v>
      </c>
      <c r="G85" s="1">
        <f t="shared" si="9"/>
        <v>1.3893973182352433</v>
      </c>
    </row>
    <row r="86" spans="1:7" x14ac:dyDescent="0.25">
      <c r="A86" s="1">
        <v>84</v>
      </c>
      <c r="B86" s="1">
        <f t="shared" si="10"/>
        <v>1.4660765716752369</v>
      </c>
      <c r="C86" s="1">
        <f t="shared" si="11"/>
        <v>0.99452189536827329</v>
      </c>
      <c r="D86" s="1">
        <f t="shared" si="6"/>
        <v>0.42648912560359253</v>
      </c>
      <c r="E86" s="1">
        <f t="shared" si="7"/>
        <v>2.056493392202448</v>
      </c>
      <c r="F86" s="1">
        <f t="shared" si="8"/>
        <v>0.22202896837673738</v>
      </c>
      <c r="G86" s="1">
        <f t="shared" si="9"/>
        <v>1.3905833599701232</v>
      </c>
    </row>
    <row r="87" spans="1:7" x14ac:dyDescent="0.25">
      <c r="A87" s="1">
        <v>85</v>
      </c>
      <c r="B87" s="1">
        <f t="shared" si="10"/>
        <v>1.48352986419518</v>
      </c>
      <c r="C87" s="1">
        <f t="shared" si="11"/>
        <v>0.99619469809174555</v>
      </c>
      <c r="D87" s="1">
        <f t="shared" si="6"/>
        <v>0.42679646265858096</v>
      </c>
      <c r="E87" s="1">
        <f t="shared" si="7"/>
        <v>2.0579753446950657</v>
      </c>
      <c r="F87" s="1">
        <f t="shared" si="8"/>
        <v>0.22204623151876812</v>
      </c>
      <c r="G87" s="1">
        <f t="shared" si="9"/>
        <v>1.3915854436550572</v>
      </c>
    </row>
    <row r="88" spans="1:7" x14ac:dyDescent="0.25">
      <c r="A88" s="1">
        <v>86</v>
      </c>
      <c r="B88" s="1">
        <f t="shared" si="10"/>
        <v>1.5009831567151235</v>
      </c>
      <c r="C88" s="1">
        <f t="shared" si="11"/>
        <v>0.9975640502598242</v>
      </c>
      <c r="D88" s="1">
        <f t="shared" si="6"/>
        <v>0.42704760922441837</v>
      </c>
      <c r="E88" s="1">
        <f t="shared" si="7"/>
        <v>2.0591863515463849</v>
      </c>
      <c r="F88" s="1">
        <f t="shared" si="8"/>
        <v>0.22206032197819667</v>
      </c>
      <c r="G88" s="1">
        <f t="shared" si="9"/>
        <v>1.3924043161992818</v>
      </c>
    </row>
    <row r="89" spans="1:7" x14ac:dyDescent="0.25">
      <c r="A89" s="1">
        <v>87</v>
      </c>
      <c r="B89" s="1">
        <f t="shared" si="10"/>
        <v>1.5184364492350666</v>
      </c>
      <c r="C89" s="1">
        <f t="shared" si="11"/>
        <v>0.99862953475457383</v>
      </c>
      <c r="D89" s="1">
        <f t="shared" si="6"/>
        <v>0.42724275220626595</v>
      </c>
      <c r="E89" s="1">
        <f t="shared" si="7"/>
        <v>2.0601273139968019</v>
      </c>
      <c r="F89" s="1">
        <f t="shared" si="8"/>
        <v>0.22207126017930603</v>
      </c>
      <c r="G89" s="1">
        <f t="shared" si="9"/>
        <v>1.3930405870138967</v>
      </c>
    </row>
    <row r="90" spans="1:7" x14ac:dyDescent="0.25">
      <c r="A90" s="1">
        <v>88</v>
      </c>
      <c r="B90" s="1">
        <f t="shared" si="10"/>
        <v>1.5358897417550099</v>
      </c>
      <c r="C90" s="1">
        <f t="shared" si="11"/>
        <v>0.99939082701909576</v>
      </c>
      <c r="D90" s="1">
        <f t="shared" si="6"/>
        <v>0.42738203665193453</v>
      </c>
      <c r="E90" s="1">
        <f t="shared" si="7"/>
        <v>2.0607989314542192</v>
      </c>
      <c r="F90" s="1">
        <f t="shared" si="8"/>
        <v>0.22207906193356908</v>
      </c>
      <c r="G90" s="1">
        <f t="shared" si="9"/>
        <v>1.393494729032583</v>
      </c>
    </row>
    <row r="91" spans="1:7" x14ac:dyDescent="0.25">
      <c r="A91" s="1">
        <v>89</v>
      </c>
      <c r="B91" s="1">
        <f t="shared" si="10"/>
        <v>1.5533430342749532</v>
      </c>
      <c r="C91" s="1">
        <f t="shared" si="11"/>
        <v>0.99984769515639127</v>
      </c>
      <c r="D91" s="1">
        <f t="shared" si="6"/>
        <v>0.42746556599439989</v>
      </c>
      <c r="E91" s="1">
        <f t="shared" si="7"/>
        <v>2.0612017026634311</v>
      </c>
      <c r="F91" s="1">
        <f t="shared" si="8"/>
        <v>0.22208373849538973</v>
      </c>
      <c r="G91" s="1">
        <f t="shared" si="9"/>
        <v>1.3937670795023334</v>
      </c>
    </row>
    <row r="92" spans="1:7" x14ac:dyDescent="0.25">
      <c r="A92" s="1">
        <v>90</v>
      </c>
      <c r="B92" s="1">
        <f t="shared" si="10"/>
        <v>1.5707963267948966</v>
      </c>
      <c r="C92" s="1">
        <f t="shared" si="11"/>
        <v>1</v>
      </c>
      <c r="D92" s="1">
        <f t="shared" si="6"/>
        <v>0.42749340222450954</v>
      </c>
      <c r="E92" s="1">
        <f t="shared" si="7"/>
        <v>2.0613359265389009</v>
      </c>
      <c r="F92" s="1">
        <f t="shared" si="8"/>
        <v>0.22208529660165974</v>
      </c>
      <c r="G92" s="1">
        <f t="shared" si="9"/>
        <v>1.3938578405465687</v>
      </c>
    </row>
    <row r="93" spans="1:7" x14ac:dyDescent="0.25">
      <c r="A93" s="1">
        <v>91</v>
      </c>
      <c r="B93" s="1">
        <f t="shared" si="10"/>
        <v>1.5882496193148399</v>
      </c>
      <c r="C93" s="1">
        <f t="shared" si="11"/>
        <v>0.99984769515639127</v>
      </c>
      <c r="D93" s="1">
        <f t="shared" si="6"/>
        <v>0.42746556599439989</v>
      </c>
      <c r="E93" s="1">
        <f t="shared" si="7"/>
        <v>2.0612017026634311</v>
      </c>
      <c r="F93" s="1">
        <f t="shared" si="8"/>
        <v>0.22208373849538973</v>
      </c>
      <c r="G93" s="1">
        <f t="shared" si="9"/>
        <v>1.3937670795023334</v>
      </c>
    </row>
    <row r="94" spans="1:7" x14ac:dyDescent="0.25">
      <c r="A94" s="1">
        <v>92</v>
      </c>
      <c r="B94" s="1">
        <f t="shared" si="10"/>
        <v>1.605702911834783</v>
      </c>
      <c r="C94" s="1">
        <f t="shared" si="11"/>
        <v>0.99939082701909576</v>
      </c>
      <c r="D94" s="1">
        <f t="shared" si="6"/>
        <v>0.42738203665193453</v>
      </c>
      <c r="E94" s="1">
        <f t="shared" si="7"/>
        <v>2.0607989314542192</v>
      </c>
      <c r="F94" s="1">
        <f t="shared" si="8"/>
        <v>0.22207906193356908</v>
      </c>
      <c r="G94" s="1">
        <f t="shared" si="9"/>
        <v>1.393494729032583</v>
      </c>
    </row>
    <row r="95" spans="1:7" x14ac:dyDescent="0.25">
      <c r="A95" s="1">
        <v>93</v>
      </c>
      <c r="B95" s="1">
        <f t="shared" si="10"/>
        <v>1.6231562043547265</v>
      </c>
      <c r="C95" s="1">
        <f t="shared" si="11"/>
        <v>0.99862953475457383</v>
      </c>
      <c r="D95" s="1">
        <f t="shared" si="6"/>
        <v>0.42724275220626595</v>
      </c>
      <c r="E95" s="1">
        <f t="shared" si="7"/>
        <v>2.0601273139968019</v>
      </c>
      <c r="F95" s="1">
        <f t="shared" si="8"/>
        <v>0.22207126017930603</v>
      </c>
      <c r="G95" s="1">
        <f t="shared" si="9"/>
        <v>1.3930405870138967</v>
      </c>
    </row>
    <row r="96" spans="1:7" x14ac:dyDescent="0.25">
      <c r="A96" s="1">
        <v>94</v>
      </c>
      <c r="B96" s="1">
        <f t="shared" si="10"/>
        <v>1.6406094968746698</v>
      </c>
      <c r="C96" s="1">
        <f t="shared" si="11"/>
        <v>0.9975640502598242</v>
      </c>
      <c r="D96" s="1">
        <f t="shared" si="6"/>
        <v>0.42704760922441837</v>
      </c>
      <c r="E96" s="1">
        <f t="shared" si="7"/>
        <v>2.0591863515463849</v>
      </c>
      <c r="F96" s="1">
        <f t="shared" si="8"/>
        <v>0.22206032197819667</v>
      </c>
      <c r="G96" s="1">
        <f t="shared" si="9"/>
        <v>1.3924043161992818</v>
      </c>
    </row>
    <row r="97" spans="1:7" x14ac:dyDescent="0.25">
      <c r="A97" s="1">
        <v>95</v>
      </c>
      <c r="B97" s="1">
        <f t="shared" si="10"/>
        <v>1.6580627893946132</v>
      </c>
      <c r="C97" s="1">
        <f t="shared" si="11"/>
        <v>0.99619469809174555</v>
      </c>
      <c r="D97" s="1">
        <f t="shared" si="6"/>
        <v>0.42679646265858096</v>
      </c>
      <c r="E97" s="1">
        <f t="shared" si="7"/>
        <v>2.0579753446950657</v>
      </c>
      <c r="F97" s="1">
        <f t="shared" si="8"/>
        <v>0.22204623151876812</v>
      </c>
      <c r="G97" s="1">
        <f t="shared" si="9"/>
        <v>1.3915854436550572</v>
      </c>
    </row>
    <row r="98" spans="1:7" x14ac:dyDescent="0.25">
      <c r="A98" s="1">
        <v>96</v>
      </c>
      <c r="B98" s="1">
        <f t="shared" si="10"/>
        <v>1.6755160819145563</v>
      </c>
      <c r="C98" s="1">
        <f t="shared" si="11"/>
        <v>0.9945218953682734</v>
      </c>
      <c r="D98" s="1">
        <f t="shared" si="6"/>
        <v>0.42648912560359259</v>
      </c>
      <c r="E98" s="1">
        <f t="shared" si="7"/>
        <v>2.0564933922024484</v>
      </c>
      <c r="F98" s="1">
        <f t="shared" si="8"/>
        <v>0.22202896837673738</v>
      </c>
      <c r="G98" s="1">
        <f t="shared" si="9"/>
        <v>1.3905833599701234</v>
      </c>
    </row>
    <row r="99" spans="1:7" x14ac:dyDescent="0.25">
      <c r="A99" s="1">
        <v>97</v>
      </c>
      <c r="B99" s="1">
        <f t="shared" si="10"/>
        <v>1.6929693744344996</v>
      </c>
      <c r="C99" s="1">
        <f t="shared" si="11"/>
        <v>0.99254615164132209</v>
      </c>
      <c r="D99" s="1">
        <f t="shared" si="6"/>
        <v>0.42612536898388936</v>
      </c>
      <c r="E99" s="1">
        <f t="shared" si="7"/>
        <v>2.0547393894861283</v>
      </c>
      <c r="F99" s="1">
        <f t="shared" si="8"/>
        <v>0.22200850744271935</v>
      </c>
      <c r="G99" s="1">
        <f t="shared" si="9"/>
        <v>1.3893973182352435</v>
      </c>
    </row>
    <row r="100" spans="1:7" x14ac:dyDescent="0.25">
      <c r="A100" s="1">
        <v>98</v>
      </c>
      <c r="B100" s="1">
        <f t="shared" si="10"/>
        <v>1.7104226669544427</v>
      </c>
      <c r="C100" s="1">
        <f t="shared" si="11"/>
        <v>0.99026806874157036</v>
      </c>
      <c r="D100" s="1">
        <f t="shared" si="6"/>
        <v>0.42570492116896941</v>
      </c>
      <c r="E100" s="1">
        <f t="shared" si="7"/>
        <v>2.0527120267675008</v>
      </c>
      <c r="F100" s="1">
        <f t="shared" si="8"/>
        <v>0.22198481883290555</v>
      </c>
      <c r="G100" s="1">
        <f t="shared" si="9"/>
        <v>1.3880264327892522</v>
      </c>
    </row>
    <row r="101" spans="1:7" x14ac:dyDescent="0.25">
      <c r="A101" s="1">
        <v>99</v>
      </c>
      <c r="B101" s="1">
        <f t="shared" si="10"/>
        <v>1.7278759594743864</v>
      </c>
      <c r="C101" s="1">
        <f t="shared" si="11"/>
        <v>0.98768834059513766</v>
      </c>
      <c r="D101" s="1">
        <f t="shared" si="6"/>
        <v>0.42522746751621321</v>
      </c>
      <c r="E101" s="1">
        <f t="shared" si="7"/>
        <v>2.0504097868672773</v>
      </c>
      <c r="F101" s="1">
        <f t="shared" si="8"/>
        <v>0.22195786778212012</v>
      </c>
      <c r="G101" s="1">
        <f t="shared" si="9"/>
        <v>1.3864696777284049</v>
      </c>
    </row>
    <row r="102" spans="1:7" x14ac:dyDescent="0.25">
      <c r="A102" s="1">
        <v>100</v>
      </c>
      <c r="B102" s="1">
        <f t="shared" si="10"/>
        <v>1.7453292519943295</v>
      </c>
      <c r="C102" s="1">
        <f t="shared" si="11"/>
        <v>0.98480775301220802</v>
      </c>
      <c r="D102" s="1">
        <f t="shared" si="6"/>
        <v>0.42469264983967203</v>
      </c>
      <c r="E102" s="1">
        <f t="shared" si="7"/>
        <v>2.0478309426440311</v>
      </c>
      <c r="F102" s="1">
        <f t="shared" si="8"/>
        <v>0.22192761451853632</v>
      </c>
      <c r="G102" s="1">
        <f t="shared" si="9"/>
        <v>1.3847258851743427</v>
      </c>
    </row>
    <row r="103" spans="1:7" x14ac:dyDescent="0.25">
      <c r="A103" s="1">
        <v>101</v>
      </c>
      <c r="B103" s="1">
        <f t="shared" si="10"/>
        <v>1.7627825445142729</v>
      </c>
      <c r="C103" s="1">
        <f t="shared" si="11"/>
        <v>0.98162718344766398</v>
      </c>
      <c r="D103" s="1">
        <f t="shared" si="6"/>
        <v>0.42410006580320386</v>
      </c>
      <c r="E103" s="1">
        <f t="shared" si="7"/>
        <v>2.0449735540679526</v>
      </c>
      <c r="F103" s="1">
        <f t="shared" si="8"/>
        <v>0.22189401411920462</v>
      </c>
      <c r="G103" s="1">
        <f t="shared" si="9"/>
        <v>1.3827937432953903</v>
      </c>
    </row>
    <row r="104" spans="1:7" x14ac:dyDescent="0.25">
      <c r="A104" s="1">
        <v>102</v>
      </c>
      <c r="B104" s="1">
        <f t="shared" si="10"/>
        <v>1.780235837034216</v>
      </c>
      <c r="C104" s="1">
        <f t="shared" si="11"/>
        <v>0.97814760073380569</v>
      </c>
      <c r="D104" s="1">
        <f t="shared" si="6"/>
        <v>0.42344926823610168</v>
      </c>
      <c r="E104" s="1">
        <f t="shared" si="7"/>
        <v>2.0418354649208661</v>
      </c>
      <c r="F104" s="1">
        <f t="shared" si="8"/>
        <v>0.22185701634540689</v>
      </c>
      <c r="G104" s="1">
        <f t="shared" si="9"/>
        <v>1.3806717940751363</v>
      </c>
    </row>
    <row r="105" spans="1:7" x14ac:dyDescent="0.25">
      <c r="A105" s="1">
        <v>103</v>
      </c>
      <c r="B105" s="1">
        <f t="shared" si="10"/>
        <v>1.7976891295541593</v>
      </c>
      <c r="C105" s="1">
        <f t="shared" si="11"/>
        <v>0.97437006478523525</v>
      </c>
      <c r="D105" s="1">
        <f t="shared" si="6"/>
        <v>0.42273976436910637</v>
      </c>
      <c r="E105" s="1">
        <f t="shared" si="7"/>
        <v>2.0384142991123526</v>
      </c>
      <c r="F105" s="1">
        <f t="shared" si="8"/>
        <v>0.22181656545669678</v>
      </c>
      <c r="G105" s="1">
        <f t="shared" si="9"/>
        <v>1.3783584308214265</v>
      </c>
    </row>
    <row r="106" spans="1:7" x14ac:dyDescent="0.25">
      <c r="A106" s="1">
        <v>104</v>
      </c>
      <c r="B106" s="1">
        <f t="shared" si="10"/>
        <v>1.8151424220741026</v>
      </c>
      <c r="C106" s="1">
        <f t="shared" si="11"/>
        <v>0.97029572627599647</v>
      </c>
      <c r="D106" s="1">
        <f t="shared" si="6"/>
        <v>0.42197101498844014</v>
      </c>
      <c r="E106" s="1">
        <f t="shared" si="7"/>
        <v>2.0347074566005712</v>
      </c>
      <c r="F106" s="1">
        <f t="shared" si="8"/>
        <v>0.22177260000232588</v>
      </c>
      <c r="G106" s="1">
        <f t="shared" si="9"/>
        <v>1.3758518954080585</v>
      </c>
    </row>
    <row r="107" spans="1:7" x14ac:dyDescent="0.25">
      <c r="A107" s="1">
        <v>105</v>
      </c>
      <c r="B107" s="1">
        <f t="shared" si="10"/>
        <v>1.8325957145940461</v>
      </c>
      <c r="C107" s="1">
        <f t="shared" si="11"/>
        <v>0.96592582628906831</v>
      </c>
      <c r="D107" s="1">
        <f t="shared" si="6"/>
        <v>0.42114243350522607</v>
      </c>
      <c r="E107" s="1">
        <f t="shared" si="7"/>
        <v>2.030712108905083</v>
      </c>
      <c r="F107" s="1">
        <f t="shared" si="8"/>
        <v>0.22172505258857389</v>
      </c>
      <c r="G107" s="1">
        <f t="shared" si="9"/>
        <v>1.3731502752405895</v>
      </c>
    </row>
    <row r="108" spans="1:7" x14ac:dyDescent="0.25">
      <c r="A108" s="1">
        <v>106</v>
      </c>
      <c r="B108" s="1">
        <f t="shared" si="10"/>
        <v>1.8500490071139892</v>
      </c>
      <c r="C108" s="1">
        <f t="shared" si="11"/>
        <v>0.96126169593831889</v>
      </c>
      <c r="D108" s="1">
        <f t="shared" si="6"/>
        <v>0.42025338493737646</v>
      </c>
      <c r="E108" s="1">
        <f t="shared" si="7"/>
        <v>2.0264251941976044</v>
      </c>
      <c r="F108" s="1">
        <f t="shared" si="8"/>
        <v>0.22167384962030806</v>
      </c>
      <c r="G108" s="1">
        <f t="shared" si="9"/>
        <v>1.3702514999367474</v>
      </c>
    </row>
    <row r="109" spans="1:7" x14ac:dyDescent="0.25">
      <c r="A109" s="1">
        <v>107</v>
      </c>
      <c r="B109" s="1">
        <f t="shared" si="10"/>
        <v>1.8675022996339325</v>
      </c>
      <c r="C109" s="1">
        <f t="shared" si="11"/>
        <v>0.95630475596303555</v>
      </c>
      <c r="D109" s="1">
        <f t="shared" si="6"/>
        <v>0.41930318480073353</v>
      </c>
      <c r="E109" s="1">
        <f t="shared" si="7"/>
        <v>2.0218434119551838</v>
      </c>
      <c r="F109" s="1">
        <f t="shared" si="8"/>
        <v>0.22161891101487952</v>
      </c>
      <c r="G109" s="1">
        <f t="shared" si="9"/>
        <v>1.3671533377109533</v>
      </c>
    </row>
    <row r="110" spans="1:7" x14ac:dyDescent="0.25">
      <c r="A110" s="1">
        <v>108</v>
      </c>
      <c r="B110" s="1">
        <f t="shared" si="10"/>
        <v>1.8849555921538759</v>
      </c>
      <c r="C110" s="1">
        <f t="shared" si="11"/>
        <v>0.95105651629515364</v>
      </c>
      <c r="D110" s="1">
        <f t="shared" si="6"/>
        <v>0.41829109790593177</v>
      </c>
      <c r="E110" s="1">
        <f t="shared" si="7"/>
        <v>2.0169632171587772</v>
      </c>
      <c r="F110" s="1">
        <f t="shared" si="8"/>
        <v>0.22156014988622674</v>
      </c>
      <c r="G110" s="1">
        <f t="shared" si="9"/>
        <v>1.3638533914514481</v>
      </c>
    </row>
    <row r="111" spans="1:7" x14ac:dyDescent="0.25">
      <c r="A111" s="1">
        <v>109</v>
      </c>
      <c r="B111" s="1">
        <f t="shared" si="10"/>
        <v>1.902408884673819</v>
      </c>
      <c r="C111" s="1">
        <f t="shared" si="11"/>
        <v>0.94551857559931685</v>
      </c>
      <c r="D111" s="1">
        <f t="shared" si="6"/>
        <v>0.41721633705712252</v>
      </c>
      <c r="E111" s="1">
        <f t="shared" si="7"/>
        <v>2.0117808140186129</v>
      </c>
      <c r="F111" s="1">
        <f t="shared" si="8"/>
        <v>0.22149747219679242</v>
      </c>
      <c r="G111" s="1">
        <f t="shared" si="9"/>
        <v>1.3603490944774366</v>
      </c>
    </row>
    <row r="112" spans="1:7" x14ac:dyDescent="0.25">
      <c r="A112" s="1">
        <v>110</v>
      </c>
      <c r="B112" s="1">
        <f t="shared" si="10"/>
        <v>1.9198621771937625</v>
      </c>
      <c r="C112" s="1">
        <f t="shared" si="11"/>
        <v>0.93969262078590843</v>
      </c>
      <c r="D112" s="1">
        <f t="shared" si="6"/>
        <v>0.41607806164834232</v>
      </c>
      <c r="E112" s="1">
        <f t="shared" si="7"/>
        <v>2.0062921492059989</v>
      </c>
      <c r="F112" s="1">
        <f t="shared" si="8"/>
        <v>0.22143077637456424</v>
      </c>
      <c r="G112" s="1">
        <f t="shared" si="9"/>
        <v>1.3566377059624943</v>
      </c>
    </row>
    <row r="113" spans="1:7" x14ac:dyDescent="0.25">
      <c r="A113" s="1">
        <v>111</v>
      </c>
      <c r="B113" s="1">
        <f t="shared" si="10"/>
        <v>1.9373154697137058</v>
      </c>
      <c r="C113" s="1">
        <f t="shared" si="11"/>
        <v>0.93358042649720174</v>
      </c>
      <c r="D113" s="1">
        <f t="shared" si="6"/>
        <v>0.41487537615294001</v>
      </c>
      <c r="E113" s="1">
        <f t="shared" si="7"/>
        <v>2.0004929045694744</v>
      </c>
      <c r="F113" s="1">
        <f t="shared" si="8"/>
        <v>0.22135995289222279</v>
      </c>
      <c r="G113" s="1">
        <f t="shared" si="9"/>
        <v>1.3527163060092906</v>
      </c>
    </row>
    <row r="114" spans="1:7" x14ac:dyDescent="0.25">
      <c r="A114" s="1">
        <v>112</v>
      </c>
      <c r="B114" s="1">
        <f t="shared" si="10"/>
        <v>1.9547687622336491</v>
      </c>
      <c r="C114" s="1">
        <f t="shared" si="11"/>
        <v>0.92718385456678742</v>
      </c>
      <c r="D114" s="1">
        <f t="shared" si="6"/>
        <v>0.41360732850107346</v>
      </c>
      <c r="E114" s="1">
        <f t="shared" si="7"/>
        <v>1.9943784893112406</v>
      </c>
      <c r="F114" s="1">
        <f t="shared" si="8"/>
        <v>0.22128488380501043</v>
      </c>
      <c r="G114" s="1">
        <f t="shared" si="9"/>
        <v>1.3485817903593562</v>
      </c>
    </row>
    <row r="115" spans="1:7" x14ac:dyDescent="0.25">
      <c r="A115" s="1">
        <v>113</v>
      </c>
      <c r="B115" s="1">
        <f t="shared" si="10"/>
        <v>1.9722220547535922</v>
      </c>
      <c r="C115" s="1">
        <f t="shared" si="11"/>
        <v>0.92050485345244037</v>
      </c>
      <c r="D115" s="1">
        <f t="shared" si="6"/>
        <v>0.41227290833986346</v>
      </c>
      <c r="E115" s="1">
        <f t="shared" si="7"/>
        <v>1.987944031597773</v>
      </c>
      <c r="F115" s="1">
        <f t="shared" si="8"/>
        <v>0.22120544224352129</v>
      </c>
      <c r="G115" s="1">
        <f t="shared" si="9"/>
        <v>1.3442308647202534</v>
      </c>
    </row>
    <row r="116" spans="1:7" x14ac:dyDescent="0.25">
      <c r="A116" s="1">
        <v>114</v>
      </c>
      <c r="B116" s="1">
        <f t="shared" si="10"/>
        <v>1.9896753472735356</v>
      </c>
      <c r="C116" s="1">
        <f t="shared" si="11"/>
        <v>0.91354545764260098</v>
      </c>
      <c r="D116" s="1">
        <f t="shared" si="6"/>
        <v>0.41087104517034062</v>
      </c>
      <c r="E116" s="1">
        <f t="shared" si="7"/>
        <v>1.9811843695763425</v>
      </c>
      <c r="F116" s="1">
        <f t="shared" si="8"/>
        <v>0.22112149185714752</v>
      </c>
      <c r="G116" s="1">
        <f t="shared" si="9"/>
        <v>1.3396600386910211</v>
      </c>
    </row>
    <row r="117" spans="1:7" x14ac:dyDescent="0.25">
      <c r="A117" s="1">
        <v>115</v>
      </c>
      <c r="B117" s="1">
        <f t="shared" si="10"/>
        <v>2.0071286397934789</v>
      </c>
      <c r="C117" s="1">
        <f t="shared" si="11"/>
        <v>0.90630778703665005</v>
      </c>
      <c r="D117" s="1">
        <f t="shared" si="6"/>
        <v>0.40940060635482883</v>
      </c>
      <c r="E117" s="1">
        <f t="shared" si="7"/>
        <v>1.974094041766792</v>
      </c>
      <c r="F117" s="1">
        <f t="shared" si="8"/>
        <v>0.22103288620338998</v>
      </c>
      <c r="G117" s="1">
        <f t="shared" si="9"/>
        <v>1.3348656192651775</v>
      </c>
    </row>
    <row r="118" spans="1:7" x14ac:dyDescent="0.25">
      <c r="A118" s="1">
        <v>116</v>
      </c>
      <c r="B118" s="1">
        <f t="shared" si="10"/>
        <v>2.0245819323134224</v>
      </c>
      <c r="C118" s="1">
        <f t="shared" si="11"/>
        <v>0.89879404629916693</v>
      </c>
      <c r="D118" s="1">
        <f t="shared" si="6"/>
        <v>0.40786039498789417</v>
      </c>
      <c r="E118" s="1">
        <f t="shared" si="7"/>
        <v>1.9666672767954378</v>
      </c>
      <c r="F118" s="1">
        <f t="shared" si="8"/>
        <v>0.22093946807764733</v>
      </c>
      <c r="G118" s="1">
        <f t="shared" si="9"/>
        <v>1.3298437038888711</v>
      </c>
    </row>
    <row r="119" spans="1:7" x14ac:dyDescent="0.25">
      <c r="A119" s="1">
        <v>117</v>
      </c>
      <c r="B119" s="1">
        <f t="shared" si="10"/>
        <v>2.0420352248333655</v>
      </c>
      <c r="C119" s="1">
        <f t="shared" si="11"/>
        <v>0.8910065241883679</v>
      </c>
      <c r="D119" s="1">
        <f t="shared" si="6"/>
        <v>0.40624914762342262</v>
      </c>
      <c r="E119" s="1">
        <f t="shared" si="7"/>
        <v>1.9588979824352362</v>
      </c>
      <c r="F119" s="1">
        <f t="shared" si="8"/>
        <v>0.22084106877742143</v>
      </c>
      <c r="G119" s="1">
        <f t="shared" si="9"/>
        <v>1.3245901730499339</v>
      </c>
    </row>
    <row r="120" spans="1:7" x14ac:dyDescent="0.25">
      <c r="A120" s="1">
        <v>118</v>
      </c>
      <c r="B120" s="1">
        <f t="shared" si="10"/>
        <v>2.0594885173533086</v>
      </c>
      <c r="C120" s="1">
        <f t="shared" si="11"/>
        <v>0.8829475928589271</v>
      </c>
      <c r="D120" s="1">
        <f t="shared" si="6"/>
        <v>0.40456553184978827</v>
      </c>
      <c r="E120" s="1">
        <f t="shared" si="7"/>
        <v>1.9507797339134556</v>
      </c>
      <c r="F120" s="1">
        <f t="shared" si="8"/>
        <v>0.22073750729411204</v>
      </c>
      <c r="G120" s="1">
        <f t="shared" si="9"/>
        <v>1.3191006823716294</v>
      </c>
    </row>
    <row r="121" spans="1:7" x14ac:dyDescent="0.25">
      <c r="A121" s="1">
        <v>119</v>
      </c>
      <c r="B121" s="1">
        <f t="shared" si="10"/>
        <v>2.0769418098732522</v>
      </c>
      <c r="C121" s="1">
        <f t="shared" si="11"/>
        <v>0.87461970713939585</v>
      </c>
      <c r="D121" s="1">
        <f t="shared" si="6"/>
        <v>0.40280814370442763</v>
      </c>
      <c r="E121" s="1">
        <f t="shared" si="7"/>
        <v>1.9423057614449799</v>
      </c>
      <c r="F121" s="1">
        <f t="shared" si="8"/>
        <v>0.22062858942469624</v>
      </c>
      <c r="G121" s="1">
        <f t="shared" si="9"/>
        <v>1.3133706541827777</v>
      </c>
    </row>
    <row r="122" spans="1:7" x14ac:dyDescent="0.25">
      <c r="A122" s="1">
        <v>120</v>
      </c>
      <c r="B122" s="1">
        <f t="shared" si="10"/>
        <v>2.0943951023931953</v>
      </c>
      <c r="C122" s="1">
        <f t="shared" si="11"/>
        <v>0.86602540378443871</v>
      </c>
      <c r="D122" s="1">
        <f t="shared" si="6"/>
        <v>0.40097550491843226</v>
      </c>
      <c r="E122" s="1">
        <f t="shared" si="7"/>
        <v>1.9334689369459741</v>
      </c>
      <c r="F122" s="1">
        <f t="shared" si="8"/>
        <v>0.22051410679459402</v>
      </c>
      <c r="G122" s="1">
        <f t="shared" si="9"/>
        <v>1.3073952685336494</v>
      </c>
    </row>
    <row r="123" spans="1:7" x14ac:dyDescent="0.25">
      <c r="A123" s="1">
        <v>121</v>
      </c>
      <c r="B123" s="1">
        <f t="shared" si="10"/>
        <v>2.1118483949131388</v>
      </c>
      <c r="C123" s="1">
        <f t="shared" si="11"/>
        <v>0.85716730070211233</v>
      </c>
      <c r="D123" s="1">
        <f t="shared" si="6"/>
        <v>0.39906605998101569</v>
      </c>
      <c r="E123" s="1">
        <f t="shared" si="7"/>
        <v>1.9242617598789993</v>
      </c>
      <c r="F123" s="1">
        <f t="shared" si="8"/>
        <v>0.2203938357818748</v>
      </c>
      <c r="G123" s="1">
        <f t="shared" si="9"/>
        <v>1.3011694536245522</v>
      </c>
    </row>
    <row r="124" spans="1:7" x14ac:dyDescent="0.25">
      <c r="A124" s="1">
        <v>122</v>
      </c>
      <c r="B124" s="1">
        <f t="shared" si="10"/>
        <v>2.1293016874330819</v>
      </c>
      <c r="C124" s="1">
        <f t="shared" si="11"/>
        <v>0.84804809615642607</v>
      </c>
      <c r="D124" s="1">
        <f t="shared" si="6"/>
        <v>0.39707817301289727</v>
      </c>
      <c r="E124" s="1">
        <f t="shared" si="7"/>
        <v>1.9146763421767421</v>
      </c>
      <c r="F124" s="1">
        <f t="shared" si="8"/>
        <v>0.22026753633165322</v>
      </c>
      <c r="G124" s="1">
        <f t="shared" si="9"/>
        <v>1.2946878756113855</v>
      </c>
    </row>
    <row r="125" spans="1:7" x14ac:dyDescent="0.25">
      <c r="A125" s="1">
        <v>123</v>
      </c>
      <c r="B125" s="1">
        <f t="shared" si="10"/>
        <v>2.1467549799530254</v>
      </c>
      <c r="C125" s="1">
        <f t="shared" si="11"/>
        <v>0.83867056794542394</v>
      </c>
      <c r="D125" s="1">
        <f t="shared" si="6"/>
        <v>0.39501012443675565</v>
      </c>
      <c r="E125" s="1">
        <f t="shared" si="7"/>
        <v>1.904704392187232</v>
      </c>
      <c r="F125" s="1">
        <f t="shared" si="8"/>
        <v>0.22013495064801303</v>
      </c>
      <c r="G125" s="1">
        <f t="shared" si="9"/>
        <v>1.2879449277495321</v>
      </c>
    </row>
    <row r="126" spans="1:7" x14ac:dyDescent="0.25">
      <c r="A126" s="1">
        <v>124</v>
      </c>
      <c r="B126" s="1">
        <f t="shared" si="10"/>
        <v>2.1642082724729685</v>
      </c>
      <c r="C126" s="1">
        <f t="shared" si="11"/>
        <v>0.82903757255504174</v>
      </c>
      <c r="D126" s="1">
        <f t="shared" si="6"/>
        <v>0.39286010743195054</v>
      </c>
      <c r="E126" s="1">
        <f t="shared" si="7"/>
        <v>1.8943371975788184</v>
      </c>
      <c r="F126" s="1">
        <f t="shared" si="8"/>
        <v>0.21999580174906261</v>
      </c>
      <c r="G126" s="1">
        <f t="shared" si="9"/>
        <v>1.2809347188343494</v>
      </c>
    </row>
    <row r="127" spans="1:7" x14ac:dyDescent="0.25">
      <c r="A127" s="1">
        <v>125</v>
      </c>
      <c r="B127" s="1">
        <f t="shared" si="10"/>
        <v>2.1816615649929116</v>
      </c>
      <c r="C127" s="1">
        <f t="shared" si="11"/>
        <v>0.81915204428899202</v>
      </c>
      <c r="D127" s="1">
        <f t="shared" si="6"/>
        <v>0.39062622415966813</v>
      </c>
      <c r="E127" s="1">
        <f t="shared" si="7"/>
        <v>1.8835656071381506</v>
      </c>
      <c r="F127" s="1">
        <f t="shared" si="8"/>
        <v>0.21984979186871953</v>
      </c>
      <c r="G127" s="1">
        <f t="shared" si="9"/>
        <v>1.2736510608931177</v>
      </c>
    </row>
    <row r="128" spans="1:7" x14ac:dyDescent="0.25">
      <c r="A128" s="1">
        <v>126</v>
      </c>
      <c r="B128" s="1">
        <f t="shared" si="10"/>
        <v>2.1991148575128552</v>
      </c>
      <c r="C128" s="1">
        <f t="shared" si="11"/>
        <v>0.80901699437494745</v>
      </c>
      <c r="D128" s="1">
        <f t="shared" si="6"/>
        <v>0.38830648174351651</v>
      </c>
      <c r="E128" s="1">
        <f t="shared" si="7"/>
        <v>1.8723800113889599</v>
      </c>
      <c r="F128" s="1">
        <f t="shared" si="8"/>
        <v>0.21969660068649871</v>
      </c>
      <c r="G128" s="1">
        <f t="shared" si="9"/>
        <v>1.2660874560796258</v>
      </c>
    </row>
    <row r="129" spans="1:7" x14ac:dyDescent="0.25">
      <c r="A129" s="1">
        <v>127</v>
      </c>
      <c r="B129" s="1">
        <f t="shared" si="10"/>
        <v>2.2165681500327987</v>
      </c>
      <c r="C129" s="1">
        <f t="shared" si="11"/>
        <v>0.79863551004729272</v>
      </c>
      <c r="D129" s="1">
        <f t="shared" si="6"/>
        <v>0.3858987879893741</v>
      </c>
      <c r="E129" s="1">
        <f t="shared" si="7"/>
        <v>1.8607703219535414</v>
      </c>
      <c r="F129" s="1">
        <f t="shared" si="8"/>
        <v>0.21953588336388058</v>
      </c>
      <c r="G129" s="1">
        <f t="shared" si="9"/>
        <v>1.2582370827185794</v>
      </c>
    </row>
    <row r="130" spans="1:7" x14ac:dyDescent="0.25">
      <c r="A130" s="1">
        <v>128</v>
      </c>
      <c r="B130" s="1">
        <f t="shared" si="10"/>
        <v>2.2340214425527418</v>
      </c>
      <c r="C130" s="1">
        <f t="shared" si="11"/>
        <v>0.78801075360672201</v>
      </c>
      <c r="D130" s="1">
        <f t="shared" si="6"/>
        <v>0.38340094682694936</v>
      </c>
      <c r="E130" s="1">
        <f t="shared" si="7"/>
        <v>1.8487259495723514</v>
      </c>
      <c r="F130" s="1">
        <f t="shared" si="8"/>
        <v>0.2193672683626961</v>
      </c>
      <c r="G130" s="1">
        <f t="shared" si="9"/>
        <v>1.2500927804426412</v>
      </c>
    </row>
    <row r="131" spans="1:7" x14ac:dyDescent="0.25">
      <c r="A131" s="1">
        <v>129</v>
      </c>
      <c r="B131" s="1">
        <f t="shared" si="10"/>
        <v>2.2514747350726849</v>
      </c>
      <c r="C131" s="1">
        <f t="shared" si="11"/>
        <v>0.77714596145697101</v>
      </c>
      <c r="D131" s="1">
        <f t="shared" ref="D131:D194" si="12">C131/(1+Kv_acmin*ABS(C131))</f>
        <v>0.38081065345406362</v>
      </c>
      <c r="E131" s="1">
        <f t="shared" ref="E131:E194" si="13">Ip_pk_min*D131</f>
        <v>1.8362357806901639</v>
      </c>
      <c r="F131" s="1">
        <f t="shared" ref="F131:F194" si="14">E131/(1+Kv_acmax*ABS(E131))</f>
        <v>0.21919035501730152</v>
      </c>
      <c r="G131" s="1">
        <f t="shared" ref="G131:G194" si="15">Ip_pk_max*D131</f>
        <v>1.2416470343601871</v>
      </c>
    </row>
    <row r="132" spans="1:7" x14ac:dyDescent="0.25">
      <c r="A132" s="1">
        <v>130</v>
      </c>
      <c r="B132" s="1">
        <f t="shared" ref="B132:B195" si="16">A132/360*PI()*2</f>
        <v>2.2689280275926285</v>
      </c>
      <c r="C132" s="1">
        <f t="shared" ref="C132:C195" si="17">SIN(B132)</f>
        <v>0.76604444311897801</v>
      </c>
      <c r="D132" s="1">
        <f t="shared" si="12"/>
        <v>0.37812548916307553</v>
      </c>
      <c r="E132" s="1">
        <f t="shared" si="13"/>
        <v>1.8232881525095395</v>
      </c>
      <c r="F132" s="1">
        <f t="shared" si="14"/>
        <v>0.21900471082802656</v>
      </c>
      <c r="G132" s="1">
        <f t="shared" si="15"/>
        <v>1.2328919581866749</v>
      </c>
    </row>
    <row r="133" spans="1:7" x14ac:dyDescent="0.25">
      <c r="A133" s="1">
        <v>131</v>
      </c>
      <c r="B133" s="1">
        <f t="shared" si="16"/>
        <v>2.2863813201125716</v>
      </c>
      <c r="C133" s="1">
        <f t="shared" si="17"/>
        <v>0.75470958022277213</v>
      </c>
      <c r="D133" s="1">
        <f t="shared" si="12"/>
        <v>0.37534291582713725</v>
      </c>
      <c r="E133" s="1">
        <f t="shared" si="13"/>
        <v>1.8098708264040329</v>
      </c>
      <c r="F133" s="1">
        <f t="shared" si="14"/>
        <v>0.21880986843834407</v>
      </c>
      <c r="G133" s="1">
        <f t="shared" si="15"/>
        <v>1.2238192762668814</v>
      </c>
    </row>
    <row r="134" spans="1:7" x14ac:dyDescent="0.25">
      <c r="A134" s="1">
        <v>132</v>
      </c>
      <c r="B134" s="1">
        <f t="shared" si="16"/>
        <v>2.3038346126325147</v>
      </c>
      <c r="C134" s="1">
        <f t="shared" si="17"/>
        <v>0.74314482547739447</v>
      </c>
      <c r="D134" s="1">
        <f t="shared" si="12"/>
        <v>0.3724602700220746</v>
      </c>
      <c r="E134" s="1">
        <f t="shared" si="13"/>
        <v>1.7959709595744118</v>
      </c>
      <c r="F134" s="1">
        <f t="shared" si="14"/>
        <v>0.21860532225228652</v>
      </c>
      <c r="G134" s="1">
        <f t="shared" si="15"/>
        <v>1.2144203044090769</v>
      </c>
    </row>
    <row r="135" spans="1:7" x14ac:dyDescent="0.25">
      <c r="A135" s="1">
        <v>133</v>
      </c>
      <c r="B135" s="1">
        <f t="shared" si="16"/>
        <v>2.3212879051524582</v>
      </c>
      <c r="C135" s="1">
        <f t="shared" si="17"/>
        <v>0.73135370161917057</v>
      </c>
      <c r="D135" s="1">
        <f t="shared" si="12"/>
        <v>0.3694747567576202</v>
      </c>
      <c r="E135" s="1">
        <f t="shared" si="13"/>
        <v>1.7815750748212098</v>
      </c>
      <c r="F135" s="1">
        <f t="shared" si="14"/>
        <v>0.2183905246416345</v>
      </c>
      <c r="G135" s="1">
        <f t="shared" si="15"/>
        <v>1.2046859294454837</v>
      </c>
    </row>
    <row r="136" spans="1:7" x14ac:dyDescent="0.25">
      <c r="A136" s="1">
        <v>134</v>
      </c>
      <c r="B136" s="1">
        <f t="shared" si="16"/>
        <v>2.3387411976724017</v>
      </c>
      <c r="C136" s="1">
        <f t="shared" si="17"/>
        <v>0.71933980033865108</v>
      </c>
      <c r="D136" s="1">
        <f t="shared" si="12"/>
        <v>0.36638344278945417</v>
      </c>
      <c r="E136" s="1">
        <f t="shared" si="13"/>
        <v>1.7666690282959687</v>
      </c>
      <c r="F136" s="1">
        <f t="shared" si="14"/>
        <v>0.21816488168411718</v>
      </c>
      <c r="G136" s="1">
        <f t="shared" si="15"/>
        <v>1.1946065874259395</v>
      </c>
    </row>
    <row r="137" spans="1:7" x14ac:dyDescent="0.25">
      <c r="A137" s="1">
        <v>135</v>
      </c>
      <c r="B137" s="1">
        <f t="shared" si="16"/>
        <v>2.3561944901923448</v>
      </c>
      <c r="C137" s="1">
        <f t="shared" si="17"/>
        <v>0.70710678118654757</v>
      </c>
      <c r="D137" s="1">
        <f t="shared" si="12"/>
        <v>0.36318324948102837</v>
      </c>
      <c r="E137" s="1">
        <f t="shared" si="13"/>
        <v>1.7512379750815776</v>
      </c>
      <c r="F137" s="1">
        <f t="shared" si="14"/>
        <v>0.21792774836401452</v>
      </c>
      <c r="G137" s="1">
        <f t="shared" si="15"/>
        <v>1.1841722403436159</v>
      </c>
    </row>
    <row r="138" spans="1:7" x14ac:dyDescent="0.25">
      <c r="A138" s="1">
        <v>136</v>
      </c>
      <c r="B138" s="1">
        <f t="shared" si="16"/>
        <v>2.3736477827122879</v>
      </c>
      <c r="C138" s="1">
        <f t="shared" si="17"/>
        <v>0.69465837045899748</v>
      </c>
      <c r="D138" s="1">
        <f t="shared" si="12"/>
        <v>0.35987094518142121</v>
      </c>
      <c r="E138" s="1">
        <f t="shared" si="13"/>
        <v>1.7352663324389532</v>
      </c>
      <c r="F138" s="1">
        <f t="shared" si="14"/>
        <v>0.21767842315480893</v>
      </c>
      <c r="G138" s="1">
        <f t="shared" si="15"/>
        <v>1.1733723512827341</v>
      </c>
    </row>
    <row r="139" spans="1:7" x14ac:dyDescent="0.25">
      <c r="A139" s="1">
        <v>137</v>
      </c>
      <c r="B139" s="1">
        <f t="shared" si="16"/>
        <v>2.3911010752322315</v>
      </c>
      <c r="C139" s="1">
        <f t="shared" si="17"/>
        <v>0.68199836006249859</v>
      </c>
      <c r="D139" s="1">
        <f t="shared" si="12"/>
        <v>0.35644313708247904</v>
      </c>
      <c r="E139" s="1">
        <f t="shared" si="13"/>
        <v>1.7187377405428854</v>
      </c>
      <c r="F139" s="1">
        <f t="shared" si="14"/>
        <v>0.21741614188948052</v>
      </c>
      <c r="G139" s="1">
        <f t="shared" si="15"/>
        <v>1.1621958578684795</v>
      </c>
    </row>
    <row r="140" spans="1:7" x14ac:dyDescent="0.25">
      <c r="A140" s="1">
        <v>138</v>
      </c>
      <c r="B140" s="1">
        <f t="shared" si="16"/>
        <v>2.408554367752175</v>
      </c>
      <c r="C140" s="1">
        <f t="shared" si="17"/>
        <v>0.66913060635885802</v>
      </c>
      <c r="D140" s="1">
        <f t="shared" si="12"/>
        <v>0.35289626251520739</v>
      </c>
      <c r="E140" s="1">
        <f t="shared" si="13"/>
        <v>1.7016350205139936</v>
      </c>
      <c r="F140" s="1">
        <f t="shared" si="14"/>
        <v>0.21714007080716399</v>
      </c>
      <c r="G140" s="1">
        <f t="shared" si="15"/>
        <v>1.1506311438885655</v>
      </c>
    </row>
    <row r="141" spans="1:7" x14ac:dyDescent="0.25">
      <c r="A141" s="1">
        <v>139</v>
      </c>
      <c r="B141" s="1">
        <f t="shared" si="16"/>
        <v>2.4260076602721181</v>
      </c>
      <c r="C141" s="1">
        <f t="shared" si="17"/>
        <v>0.65605902899050728</v>
      </c>
      <c r="D141" s="1">
        <f t="shared" si="12"/>
        <v>0.34922657964175446</v>
      </c>
      <c r="E141" s="1">
        <f t="shared" si="13"/>
        <v>1.6839401295362837</v>
      </c>
      <c r="F141" s="1">
        <f t="shared" si="14"/>
        <v>0.21684929864453836</v>
      </c>
      <c r="G141" s="1">
        <f t="shared" si="15"/>
        <v>1.1386660089441072</v>
      </c>
    </row>
    <row r="142" spans="1:7" x14ac:dyDescent="0.25">
      <c r="A142" s="1">
        <v>140</v>
      </c>
      <c r="B142" s="1">
        <f t="shared" si="16"/>
        <v>2.4434609527920612</v>
      </c>
      <c r="C142" s="1">
        <f t="shared" si="17"/>
        <v>0.64278760968653947</v>
      </c>
      <c r="D142" s="1">
        <f t="shared" si="12"/>
        <v>0.34543015749533956</v>
      </c>
      <c r="E142" s="1">
        <f t="shared" si="13"/>
        <v>1.6656341128305496</v>
      </c>
      <c r="F142" s="1">
        <f t="shared" si="14"/>
        <v>0.21654282761569205</v>
      </c>
      <c r="G142" s="1">
        <f t="shared" si="15"/>
        <v>1.1262876359744445</v>
      </c>
    </row>
    <row r="143" spans="1:7" x14ac:dyDescent="0.25">
      <c r="A143" s="1">
        <v>141</v>
      </c>
      <c r="B143" s="1">
        <f t="shared" si="16"/>
        <v>2.4609142453120048</v>
      </c>
      <c r="C143" s="1">
        <f t="shared" si="17"/>
        <v>0.62932039104983739</v>
      </c>
      <c r="D143" s="1">
        <f t="shared" si="12"/>
        <v>0.34150286531607699</v>
      </c>
      <c r="E143" s="1">
        <f t="shared" si="13"/>
        <v>1.6466970522326467</v>
      </c>
      <c r="F143" s="1">
        <f t="shared" si="14"/>
        <v>0.21621956309427104</v>
      </c>
      <c r="G143" s="1">
        <f t="shared" si="15"/>
        <v>1.1134825564862059</v>
      </c>
    </row>
    <row r="144" spans="1:7" x14ac:dyDescent="0.25">
      <c r="A144" s="1">
        <v>142</v>
      </c>
      <c r="B144" s="1">
        <f t="shared" si="16"/>
        <v>2.4783675378319479</v>
      </c>
      <c r="C144" s="1">
        <f t="shared" si="17"/>
        <v>0.6156614753256584</v>
      </c>
      <c r="D144" s="1">
        <f t="shared" si="12"/>
        <v>0.33744036112578796</v>
      </c>
      <c r="E144" s="1">
        <f t="shared" si="13"/>
        <v>1.6271080111022302</v>
      </c>
      <c r="F144" s="1">
        <f t="shared" si="14"/>
        <v>0.21587830177517528</v>
      </c>
      <c r="G144" s="1">
        <f t="shared" si="15"/>
        <v>1.1002366133010668</v>
      </c>
    </row>
    <row r="145" spans="1:7" x14ac:dyDescent="0.25">
      <c r="A145" s="1">
        <v>143</v>
      </c>
      <c r="B145" s="1">
        <f t="shared" si="16"/>
        <v>2.495820830351891</v>
      </c>
      <c r="C145" s="1">
        <f t="shared" si="17"/>
        <v>0.6018150231520486</v>
      </c>
      <c r="D145" s="1">
        <f t="shared" si="12"/>
        <v>0.33323807947951867</v>
      </c>
      <c r="E145" s="1">
        <f t="shared" si="13"/>
        <v>1.6068449752616427</v>
      </c>
      <c r="F145" s="1">
        <f t="shared" si="14"/>
        <v>0.21551771804825487</v>
      </c>
      <c r="G145" s="1">
        <f t="shared" si="15"/>
        <v>1.0865349206191264</v>
      </c>
    </row>
    <row r="146" spans="1:7" x14ac:dyDescent="0.25">
      <c r="A146" s="1">
        <v>144</v>
      </c>
      <c r="B146" s="1">
        <f t="shared" si="16"/>
        <v>2.5132741228718345</v>
      </c>
      <c r="C146" s="1">
        <f t="shared" si="17"/>
        <v>0.58778525229247325</v>
      </c>
      <c r="D146" s="1">
        <f t="shared" si="12"/>
        <v>0.32889121832554069</v>
      </c>
      <c r="E146" s="1">
        <f t="shared" si="13"/>
        <v>1.5858847896359816</v>
      </c>
      <c r="F146" s="1">
        <f t="shared" si="14"/>
        <v>0.21513634826124203</v>
      </c>
      <c r="G146" s="1">
        <f t="shared" si="15"/>
        <v>1.0723618211754593</v>
      </c>
    </row>
    <row r="147" spans="1:7" x14ac:dyDescent="0.25">
      <c r="A147" s="1">
        <v>145</v>
      </c>
      <c r="B147" s="1">
        <f t="shared" si="16"/>
        <v>2.530727415391778</v>
      </c>
      <c r="C147" s="1">
        <f t="shared" si="17"/>
        <v>0.57357643635104594</v>
      </c>
      <c r="D147" s="1">
        <f t="shared" si="12"/>
        <v>0.32439472489902121</v>
      </c>
      <c r="E147" s="1">
        <f t="shared" si="13"/>
        <v>1.5642030902336062</v>
      </c>
      <c r="F147" s="1">
        <f t="shared" si="14"/>
        <v>0.21473257248078079</v>
      </c>
      <c r="G147" s="1">
        <f t="shared" si="15"/>
        <v>1.0577008402459134</v>
      </c>
    </row>
    <row r="148" spans="1:7" x14ac:dyDescent="0.25">
      <c r="A148" s="1">
        <v>146</v>
      </c>
      <c r="B148" s="1">
        <f t="shared" si="16"/>
        <v>2.5481807079117211</v>
      </c>
      <c r="C148" s="1">
        <f t="shared" si="17"/>
        <v>0.5591929034707469</v>
      </c>
      <c r="D148" s="1">
        <f t="shared" si="12"/>
        <v>0.31974328056724166</v>
      </c>
      <c r="E148" s="1">
        <f t="shared" si="13"/>
        <v>1.5417742310711029</v>
      </c>
      <c r="F148" s="1">
        <f t="shared" si="14"/>
        <v>0.2143045932753056</v>
      </c>
      <c r="G148" s="1">
        <f t="shared" si="15"/>
        <v>1.0425346362343906</v>
      </c>
    </row>
    <row r="149" spans="1:7" x14ac:dyDescent="0.25">
      <c r="A149" s="1">
        <v>147</v>
      </c>
      <c r="B149" s="1">
        <f t="shared" si="16"/>
        <v>2.5656340004316642</v>
      </c>
      <c r="C149" s="1">
        <f t="shared" si="17"/>
        <v>0.54463903501502731</v>
      </c>
      <c r="D149" s="1">
        <f t="shared" si="12"/>
        <v>0.31493128453613006</v>
      </c>
      <c r="E149" s="1">
        <f t="shared" si="13"/>
        <v>1.5185712056076042</v>
      </c>
      <c r="F149" s="1">
        <f t="shared" si="14"/>
        <v>0.21385041093699525</v>
      </c>
      <c r="G149" s="1">
        <f t="shared" si="15"/>
        <v>1.0268449475474026</v>
      </c>
    </row>
    <row r="150" spans="1:7" x14ac:dyDescent="0.25">
      <c r="A150" s="1">
        <v>148</v>
      </c>
      <c r="B150" s="1">
        <f t="shared" si="16"/>
        <v>2.5830872929516078</v>
      </c>
      <c r="C150" s="1">
        <f t="shared" si="17"/>
        <v>0.5299192642332049</v>
      </c>
      <c r="D150" s="1">
        <f t="shared" si="12"/>
        <v>0.30995283631884463</v>
      </c>
      <c r="E150" s="1">
        <f t="shared" si="13"/>
        <v>1.4945655622098273</v>
      </c>
      <c r="F150" s="1">
        <f t="shared" si="14"/>
        <v>0.21336779442592582</v>
      </c>
      <c r="G150" s="1">
        <f t="shared" si="15"/>
        <v>1.0106125354322468</v>
      </c>
    </row>
    <row r="151" spans="1:7" x14ac:dyDescent="0.25">
      <c r="A151" s="1">
        <v>149</v>
      </c>
      <c r="B151" s="1">
        <f t="shared" si="16"/>
        <v>2.6005405854715509</v>
      </c>
      <c r="C151" s="1">
        <f t="shared" si="17"/>
        <v>0.51503807491005438</v>
      </c>
      <c r="D151" s="1">
        <f t="shared" si="12"/>
        <v>0.30480171685709556</v>
      </c>
      <c r="E151" s="1">
        <f t="shared" si="13"/>
        <v>1.4697273131207322</v>
      </c>
      <c r="F151" s="1">
        <f t="shared" si="14"/>
        <v>0.21285424714970477</v>
      </c>
      <c r="G151" s="1">
        <f t="shared" si="15"/>
        <v>0.99381712242238651</v>
      </c>
    </row>
    <row r="152" spans="1:7" x14ac:dyDescent="0.25">
      <c r="A152" s="1">
        <v>150</v>
      </c>
      <c r="B152" s="1">
        <f t="shared" si="16"/>
        <v>2.6179938779914944</v>
      </c>
      <c r="C152" s="1">
        <f t="shared" si="17"/>
        <v>0.49999999999999994</v>
      </c>
      <c r="D152" s="1">
        <f t="shared" si="12"/>
        <v>0.29947136817468478</v>
      </c>
      <c r="E152" s="1">
        <f t="shared" si="13"/>
        <v>1.4440248363506645</v>
      </c>
      <c r="F152" s="1">
        <f t="shared" si="14"/>
        <v>0.21230696647537436</v>
      </c>
      <c r="G152" s="1">
        <f t="shared" si="15"/>
        <v>0.976437325997076</v>
      </c>
    </row>
    <row r="153" spans="1:7" x14ac:dyDescent="0.25">
      <c r="A153" s="1">
        <v>151</v>
      </c>
      <c r="B153" s="1">
        <f t="shared" si="16"/>
        <v>2.6354471705114375</v>
      </c>
      <c r="C153" s="1">
        <f t="shared" si="17"/>
        <v>0.48480962024633717</v>
      </c>
      <c r="D153" s="1">
        <f t="shared" si="12"/>
        <v>0.29395487143023591</v>
      </c>
      <c r="E153" s="1">
        <f t="shared" si="13"/>
        <v>1.4174247698495319</v>
      </c>
      <c r="F153" s="1">
        <f t="shared" si="14"/>
        <v>0.21172279559254797</v>
      </c>
      <c r="G153" s="1">
        <f t="shared" si="15"/>
        <v>0.95845058702148478</v>
      </c>
    </row>
    <row r="154" spans="1:7" x14ac:dyDescent="0.25">
      <c r="A154" s="1">
        <v>152</v>
      </c>
      <c r="B154" s="1">
        <f t="shared" si="16"/>
        <v>2.6529004630313811</v>
      </c>
      <c r="C154" s="1">
        <f t="shared" si="17"/>
        <v>0.46947156278589069</v>
      </c>
      <c r="D154" s="1">
        <f t="shared" si="12"/>
        <v>0.28824492322209333</v>
      </c>
      <c r="E154" s="1">
        <f t="shared" si="13"/>
        <v>1.389891897251093</v>
      </c>
      <c r="F154" s="1">
        <f t="shared" si="14"/>
        <v>0.21109816598764564</v>
      </c>
      <c r="G154" s="1">
        <f t="shared" si="15"/>
        <v>0.9398330924879561</v>
      </c>
    </row>
    <row r="155" spans="1:7" x14ac:dyDescent="0.25">
      <c r="A155" s="1">
        <v>153</v>
      </c>
      <c r="B155" s="1">
        <f t="shared" si="16"/>
        <v>2.6703537555513241</v>
      </c>
      <c r="C155" s="1">
        <f t="shared" si="17"/>
        <v>0.45399049973954686</v>
      </c>
      <c r="D155" s="1">
        <f t="shared" si="12"/>
        <v>0.28233380998271601</v>
      </c>
      <c r="E155" s="1">
        <f t="shared" si="13"/>
        <v>1.3613890244049547</v>
      </c>
      <c r="F155" s="1">
        <f t="shared" si="14"/>
        <v>0.21042902832143118</v>
      </c>
      <c r="G155" s="1">
        <f t="shared" si="15"/>
        <v>0.92055969202799381</v>
      </c>
    </row>
    <row r="156" spans="1:7" x14ac:dyDescent="0.25">
      <c r="A156" s="1">
        <v>154</v>
      </c>
      <c r="B156" s="1">
        <f t="shared" si="16"/>
        <v>2.6878070480712672</v>
      </c>
      <c r="C156" s="1">
        <f t="shared" si="17"/>
        <v>0.43837114678907768</v>
      </c>
      <c r="D156" s="1">
        <f t="shared" si="12"/>
        <v>0.27621338028232723</v>
      </c>
      <c r="E156" s="1">
        <f t="shared" si="13"/>
        <v>1.3318768458271872</v>
      </c>
      <c r="F156" s="1">
        <f t="shared" si="14"/>
        <v>0.20971076888807608</v>
      </c>
      <c r="G156" s="1">
        <f t="shared" si="15"/>
        <v>0.90060380760730119</v>
      </c>
    </row>
    <row r="157" spans="1:7" x14ac:dyDescent="0.25">
      <c r="A157" s="1">
        <v>155</v>
      </c>
      <c r="B157" s="1">
        <f t="shared" si="16"/>
        <v>2.7052603405912108</v>
      </c>
      <c r="C157" s="1">
        <f t="shared" si="17"/>
        <v>0.4226182617406995</v>
      </c>
      <c r="D157" s="1">
        <f t="shared" si="12"/>
        <v>0.26987501484187276</v>
      </c>
      <c r="E157" s="1">
        <f t="shared" si="13"/>
        <v>1.3013138001054203</v>
      </c>
      <c r="F157" s="1">
        <f t="shared" si="14"/>
        <v>0.20893810802099533</v>
      </c>
      <c r="G157" s="1">
        <f t="shared" si="15"/>
        <v>0.87993733575193667</v>
      </c>
    </row>
    <row r="158" spans="1:7" x14ac:dyDescent="0.25">
      <c r="A158" s="1">
        <v>156</v>
      </c>
      <c r="B158" s="1">
        <f t="shared" si="16"/>
        <v>2.7227136331111543</v>
      </c>
      <c r="C158" s="1">
        <f t="shared" si="17"/>
        <v>0.40673664307580004</v>
      </c>
      <c r="D158" s="1">
        <f t="shared" si="12"/>
        <v>0.26330959403316884</v>
      </c>
      <c r="E158" s="1">
        <f t="shared" si="13"/>
        <v>1.2696559131873901</v>
      </c>
      <c r="F158" s="1">
        <f t="shared" si="14"/>
        <v>0.20810497572437581</v>
      </c>
      <c r="G158" s="1">
        <f t="shared" si="15"/>
        <v>0.85853054158136011</v>
      </c>
    </row>
    <row r="159" spans="1:7" x14ac:dyDescent="0.25">
      <c r="A159" s="1">
        <v>157</v>
      </c>
      <c r="B159" s="1">
        <f t="shared" si="16"/>
        <v>2.7401669256310974</v>
      </c>
      <c r="C159" s="1">
        <f t="shared" si="17"/>
        <v>0.39073112848927377</v>
      </c>
      <c r="D159" s="1">
        <f t="shared" si="12"/>
        <v>0.25650746261915014</v>
      </c>
      <c r="E159" s="1">
        <f t="shared" si="13"/>
        <v>1.2368566283614881</v>
      </c>
      <c r="F159" s="1">
        <f t="shared" si="14"/>
        <v>0.20720435834355735</v>
      </c>
      <c r="G159" s="1">
        <f t="shared" si="15"/>
        <v>0.83635194384272471</v>
      </c>
    </row>
    <row r="160" spans="1:7" x14ac:dyDescent="0.25">
      <c r="A160" s="1">
        <v>158</v>
      </c>
      <c r="B160" s="1">
        <f t="shared" si="16"/>
        <v>2.7576202181510405</v>
      </c>
      <c r="C160" s="1">
        <f t="shared" si="17"/>
        <v>0.37460659341591224</v>
      </c>
      <c r="D160" s="1">
        <f t="shared" si="12"/>
        <v>0.24945839145896537</v>
      </c>
      <c r="E160" s="1">
        <f t="shared" si="13"/>
        <v>1.2028666216020691</v>
      </c>
      <c r="F160" s="1">
        <f t="shared" si="14"/>
        <v>0.20622810808904266</v>
      </c>
      <c r="G160" s="1">
        <f t="shared" si="15"/>
        <v>0.8133681900489429</v>
      </c>
    </row>
    <row r="161" spans="1:7" x14ac:dyDescent="0.25">
      <c r="A161" s="1">
        <v>159</v>
      </c>
      <c r="B161" s="1">
        <f t="shared" si="16"/>
        <v>2.7750735106709836</v>
      </c>
      <c r="C161" s="1">
        <f t="shared" si="17"/>
        <v>0.35836794954530066</v>
      </c>
      <c r="D161" s="1">
        <f t="shared" si="12"/>
        <v>0.24215153587083987</v>
      </c>
      <c r="E161" s="1">
        <f t="shared" si="13"/>
        <v>1.1676336007988042</v>
      </c>
      <c r="F161" s="1">
        <f t="shared" si="14"/>
        <v>0.20516670447379565</v>
      </c>
      <c r="G161" s="1">
        <f t="shared" si="15"/>
        <v>0.78954392071928092</v>
      </c>
    </row>
    <row r="162" spans="1:7" x14ac:dyDescent="0.25">
      <c r="A162" s="1">
        <v>160</v>
      </c>
      <c r="B162" s="1">
        <f t="shared" si="16"/>
        <v>2.7925268031909272</v>
      </c>
      <c r="C162" s="1">
        <f t="shared" si="17"/>
        <v>0.34202014332566888</v>
      </c>
      <c r="D162" s="1">
        <f t="shared" si="12"/>
        <v>0.23457539030960387</v>
      </c>
      <c r="E162" s="1">
        <f t="shared" si="13"/>
        <v>1.1311020872156723</v>
      </c>
      <c r="F162" s="1">
        <f t="shared" si="14"/>
        <v>0.20400895287927132</v>
      </c>
      <c r="G162" s="1">
        <f t="shared" si="15"/>
        <v>0.76484162160378488</v>
      </c>
    </row>
    <row r="163" spans="1:7" x14ac:dyDescent="0.25">
      <c r="A163" s="1">
        <v>161</v>
      </c>
      <c r="B163" s="1">
        <f t="shared" si="16"/>
        <v>2.8099800957108707</v>
      </c>
      <c r="C163" s="1">
        <f t="shared" si="17"/>
        <v>0.32556815445715659</v>
      </c>
      <c r="D163" s="1">
        <f t="shared" si="12"/>
        <v>0.22671773897494479</v>
      </c>
      <c r="E163" s="1">
        <f t="shared" si="13"/>
        <v>1.0932131773282567</v>
      </c>
      <c r="F163" s="1">
        <f t="shared" si="14"/>
        <v>0.20274160003195918</v>
      </c>
      <c r="G163" s="1">
        <f t="shared" si="15"/>
        <v>0.73922146263968513</v>
      </c>
    </row>
    <row r="164" spans="1:7" x14ac:dyDescent="0.25">
      <c r="A164" s="1">
        <v>162</v>
      </c>
      <c r="B164" s="1">
        <f t="shared" si="16"/>
        <v>2.8274333882308138</v>
      </c>
      <c r="C164" s="1">
        <f t="shared" si="17"/>
        <v>0.30901699437494751</v>
      </c>
      <c r="D164" s="1">
        <f t="shared" si="12"/>
        <v>0.21856560192005531</v>
      </c>
      <c r="E164" s="1">
        <f t="shared" si="13"/>
        <v>1.0539042829643444</v>
      </c>
      <c r="F164" s="1">
        <f t="shared" si="14"/>
        <v>0.20134883838377207</v>
      </c>
      <c r="G164" s="1">
        <f t="shared" si="15"/>
        <v>0.71264112223667619</v>
      </c>
    </row>
    <row r="165" spans="1:7" x14ac:dyDescent="0.25">
      <c r="A165" s="1">
        <v>163</v>
      </c>
      <c r="B165" s="1">
        <f t="shared" si="16"/>
        <v>2.8448866807507569</v>
      </c>
      <c r="C165" s="1">
        <f t="shared" si="17"/>
        <v>0.29237170472273705</v>
      </c>
      <c r="D165" s="1">
        <f t="shared" si="12"/>
        <v>0.21010517617756919</v>
      </c>
      <c r="E165" s="1">
        <f t="shared" si="13"/>
        <v>1.0131088474183187</v>
      </c>
      <c r="F165" s="1">
        <f t="shared" si="14"/>
        <v>0.19981166005511031</v>
      </c>
      <c r="G165" s="1">
        <f t="shared" si="15"/>
        <v>0.68505559531588145</v>
      </c>
    </row>
    <row r="166" spans="1:7" x14ac:dyDescent="0.25">
      <c r="A166" s="1">
        <v>164</v>
      </c>
      <c r="B166" s="1">
        <f t="shared" si="16"/>
        <v>2.8623399732707004</v>
      </c>
      <c r="C166" s="1">
        <f t="shared" si="17"/>
        <v>0.27563735581699922</v>
      </c>
      <c r="D166" s="1">
        <f t="shared" si="12"/>
        <v>0.20132177135950549</v>
      </c>
      <c r="E166" s="1">
        <f t="shared" si="13"/>
        <v>0.97075603491970397</v>
      </c>
      <c r="F166" s="1">
        <f t="shared" si="14"/>
        <v>0.19810700422941449</v>
      </c>
      <c r="G166" s="1">
        <f t="shared" si="15"/>
        <v>0.65641698333112164</v>
      </c>
    </row>
    <row r="167" spans="1:7" x14ac:dyDescent="0.25">
      <c r="A167" s="1">
        <v>165</v>
      </c>
      <c r="B167" s="1">
        <f t="shared" si="16"/>
        <v>2.8797932657906435</v>
      </c>
      <c r="C167" s="1">
        <f t="shared" si="17"/>
        <v>0.25881904510252102</v>
      </c>
      <c r="D167" s="1">
        <f t="shared" si="12"/>
        <v>0.19219973911921265</v>
      </c>
      <c r="E167" s="1">
        <f t="shared" si="13"/>
        <v>0.92677039050480703</v>
      </c>
      <c r="F167" s="1">
        <f t="shared" si="14"/>
        <v>0.19620661662321173</v>
      </c>
      <c r="G167" s="1">
        <f t="shared" si="15"/>
        <v>0.62667426427700812</v>
      </c>
    </row>
    <row r="168" spans="1:7" x14ac:dyDescent="0.25">
      <c r="A168" s="1">
        <v>166</v>
      </c>
      <c r="B168" s="1">
        <f t="shared" si="16"/>
        <v>2.8972465583105871</v>
      </c>
      <c r="C168" s="1">
        <f t="shared" si="17"/>
        <v>0.24192189559966773</v>
      </c>
      <c r="D168" s="1">
        <f t="shared" si="12"/>
        <v>0.18272239578464028</v>
      </c>
      <c r="E168" s="1">
        <f t="shared" si="13"/>
        <v>0.88107146696109784</v>
      </c>
      <c r="F168" s="1">
        <f t="shared" si="14"/>
        <v>0.19407550082981101</v>
      </c>
      <c r="G168" s="1">
        <f t="shared" si="15"/>
        <v>0.59577304043190216</v>
      </c>
    </row>
    <row r="169" spans="1:7" x14ac:dyDescent="0.25">
      <c r="A169" s="1">
        <v>167</v>
      </c>
      <c r="B169" s="1">
        <f t="shared" si="16"/>
        <v>2.9146998508305302</v>
      </c>
      <c r="C169" s="1">
        <f t="shared" si="17"/>
        <v>0.2249510543438652</v>
      </c>
      <c r="D169" s="1">
        <f t="shared" si="12"/>
        <v>0.1728719373820653</v>
      </c>
      <c r="E169" s="1">
        <f t="shared" si="13"/>
        <v>0.83357341507902216</v>
      </c>
      <c r="F169" s="1">
        <f t="shared" si="14"/>
        <v>0.19166978034721868</v>
      </c>
      <c r="G169" s="1">
        <f t="shared" si="15"/>
        <v>0.56365526128967292</v>
      </c>
    </row>
    <row r="170" spans="1:7" x14ac:dyDescent="0.25">
      <c r="A170" s="1">
        <v>168</v>
      </c>
      <c r="B170" s="1">
        <f t="shared" si="16"/>
        <v>2.9321531433504737</v>
      </c>
      <c r="C170" s="1">
        <f t="shared" si="17"/>
        <v>0.20791169081775931</v>
      </c>
      <c r="D170" s="1">
        <f t="shared" si="12"/>
        <v>0.16262934616570424</v>
      </c>
      <c r="E170" s="1">
        <f t="shared" si="13"/>
        <v>0.78418453294593937</v>
      </c>
      <c r="F170" s="1">
        <f t="shared" si="14"/>
        <v>0.18893369194430462</v>
      </c>
      <c r="G170" s="1">
        <f t="shared" si="15"/>
        <v>0.53025891879608644</v>
      </c>
    </row>
    <row r="171" spans="1:7" x14ac:dyDescent="0.25">
      <c r="A171" s="1">
        <v>169</v>
      </c>
      <c r="B171" s="1">
        <f t="shared" si="16"/>
        <v>2.9496064358704168</v>
      </c>
      <c r="C171" s="1">
        <f t="shared" si="17"/>
        <v>0.19080899537654497</v>
      </c>
      <c r="D171" s="1">
        <f t="shared" si="12"/>
        <v>0.15197428764924256</v>
      </c>
      <c r="E171" s="1">
        <f t="shared" si="13"/>
        <v>0.7328067694411311</v>
      </c>
      <c r="F171" s="1">
        <f t="shared" si="14"/>
        <v>0.18579526869593327</v>
      </c>
      <c r="G171" s="1">
        <f t="shared" si="15"/>
        <v>0.49551771161634878</v>
      </c>
    </row>
    <row r="172" spans="1:7" x14ac:dyDescent="0.25">
      <c r="A172" s="1">
        <v>170</v>
      </c>
      <c r="B172" s="1">
        <f t="shared" si="16"/>
        <v>2.9670597283903599</v>
      </c>
      <c r="C172" s="1">
        <f t="shared" si="17"/>
        <v>0.17364817766693069</v>
      </c>
      <c r="D172" s="1">
        <f t="shared" si="12"/>
        <v>0.14088499699744009</v>
      </c>
      <c r="E172" s="1">
        <f t="shared" si="13"/>
        <v>0.67933517642602403</v>
      </c>
      <c r="F172" s="1">
        <f t="shared" si="14"/>
        <v>0.18215999426932125</v>
      </c>
      <c r="G172" s="1">
        <f t="shared" si="15"/>
        <v>0.45936067471078956</v>
      </c>
    </row>
    <row r="173" spans="1:7" x14ac:dyDescent="0.25">
      <c r="A173" s="1">
        <v>171</v>
      </c>
      <c r="B173" s="1">
        <f t="shared" si="16"/>
        <v>2.9845130209103035</v>
      </c>
      <c r="C173" s="1">
        <f t="shared" si="17"/>
        <v>0.15643446504023098</v>
      </c>
      <c r="D173" s="1">
        <f t="shared" si="12"/>
        <v>0.12933815347647132</v>
      </c>
      <c r="E173" s="1">
        <f t="shared" si="13"/>
        <v>0.62365730335467395</v>
      </c>
      <c r="F173" s="1">
        <f t="shared" si="14"/>
        <v>0.1779012216310876</v>
      </c>
      <c r="G173" s="1">
        <f t="shared" si="15"/>
        <v>0.42171176997561399</v>
      </c>
    </row>
    <row r="174" spans="1:7" x14ac:dyDescent="0.25">
      <c r="A174" s="1">
        <v>172</v>
      </c>
      <c r="B174" s="1">
        <f t="shared" si="16"/>
        <v>3.001966313430247</v>
      </c>
      <c r="C174" s="1">
        <f t="shared" si="17"/>
        <v>0.13917310096006533</v>
      </c>
      <c r="D174" s="1">
        <f t="shared" si="12"/>
        <v>0.11730874147663721</v>
      </c>
      <c r="E174" s="1">
        <f t="shared" si="13"/>
        <v>0.56565252713739422</v>
      </c>
      <c r="F174" s="1">
        <f t="shared" si="14"/>
        <v>0.17284525268819229</v>
      </c>
      <c r="G174" s="1">
        <f t="shared" si="15"/>
        <v>0.38248943310238204</v>
      </c>
    </row>
    <row r="175" spans="1:7" x14ac:dyDescent="0.25">
      <c r="A175" s="1">
        <v>173</v>
      </c>
      <c r="B175" s="1">
        <f t="shared" si="16"/>
        <v>3.0194196059501901</v>
      </c>
      <c r="C175" s="1">
        <f t="shared" si="17"/>
        <v>0.12186934340514755</v>
      </c>
      <c r="D175" s="1">
        <f t="shared" si="12"/>
        <v>0.10476989640595433</v>
      </c>
      <c r="E175" s="1">
        <f t="shared" si="13"/>
        <v>0.50519130905307463</v>
      </c>
      <c r="F175" s="1">
        <f t="shared" si="14"/>
        <v>0.16674725251026426</v>
      </c>
      <c r="G175" s="1">
        <f t="shared" si="15"/>
        <v>0.34160607110843172</v>
      </c>
    </row>
    <row r="176" spans="1:7" x14ac:dyDescent="0.25">
      <c r="A176" s="1">
        <v>174</v>
      </c>
      <c r="B176" s="1">
        <f t="shared" si="16"/>
        <v>3.0368728984701332</v>
      </c>
      <c r="C176" s="1">
        <f t="shared" si="17"/>
        <v>0.10452846326765373</v>
      </c>
      <c r="D176" s="1">
        <f t="shared" si="12"/>
        <v>9.1692733502338822E-2</v>
      </c>
      <c r="E176" s="1">
        <f t="shared" si="13"/>
        <v>0.44213436929645228</v>
      </c>
      <c r="F176" s="1">
        <f t="shared" si="14"/>
        <v>0.15925068033884265</v>
      </c>
      <c r="G176" s="1">
        <f t="shared" si="15"/>
        <v>0.29896750417275669</v>
      </c>
    </row>
    <row r="177" spans="1:7" x14ac:dyDescent="0.25">
      <c r="A177" s="1">
        <v>175</v>
      </c>
      <c r="B177" s="1">
        <f t="shared" si="16"/>
        <v>3.0543261909900767</v>
      </c>
      <c r="C177" s="1">
        <f t="shared" si="17"/>
        <v>8.7155742747658194E-2</v>
      </c>
      <c r="D177" s="1">
        <f t="shared" si="12"/>
        <v>7.804615731896028E-2</v>
      </c>
      <c r="E177" s="1">
        <f t="shared" si="13"/>
        <v>0.3763317683330929</v>
      </c>
      <c r="F177" s="1">
        <f t="shared" si="14"/>
        <v>0.14981538264487093</v>
      </c>
      <c r="G177" s="1">
        <f t="shared" si="15"/>
        <v>0.25447234445604916</v>
      </c>
    </row>
    <row r="178" spans="1:7" x14ac:dyDescent="0.25">
      <c r="A178" s="1">
        <v>176</v>
      </c>
      <c r="B178" s="1">
        <f t="shared" si="16"/>
        <v>3.0717794835100198</v>
      </c>
      <c r="C178" s="1">
        <f t="shared" si="17"/>
        <v>6.9756473744125524E-2</v>
      </c>
      <c r="D178" s="1">
        <f t="shared" si="12"/>
        <v>6.3796649293747079E-2</v>
      </c>
      <c r="E178" s="1">
        <f t="shared" si="13"/>
        <v>0.30762188257806</v>
      </c>
      <c r="F178" s="1">
        <f t="shared" si="14"/>
        <v>0.13758193311031469</v>
      </c>
      <c r="G178" s="1">
        <f t="shared" si="15"/>
        <v>0.20801130346331886</v>
      </c>
    </row>
    <row r="179" spans="1:7" x14ac:dyDescent="0.25">
      <c r="A179" s="1">
        <v>177</v>
      </c>
      <c r="B179" s="1">
        <f t="shared" si="16"/>
        <v>3.0892327760299629</v>
      </c>
      <c r="C179" s="1">
        <f t="shared" si="17"/>
        <v>5.2335956242944251E-2</v>
      </c>
      <c r="D179" s="1">
        <f t="shared" si="12"/>
        <v>4.8908030410148087E-2</v>
      </c>
      <c r="E179" s="1">
        <f t="shared" si="13"/>
        <v>0.23583025996679408</v>
      </c>
      <c r="F179" s="1">
        <f t="shared" si="14"/>
        <v>0.12109484106130133</v>
      </c>
      <c r="G179" s="1">
        <f t="shared" si="15"/>
        <v>0.15946641819064425</v>
      </c>
    </row>
    <row r="180" spans="1:7" x14ac:dyDescent="0.25">
      <c r="A180" s="1">
        <v>178</v>
      </c>
      <c r="B180" s="1">
        <f t="shared" si="16"/>
        <v>3.1066860685499065</v>
      </c>
      <c r="C180" s="1">
        <f t="shared" si="17"/>
        <v>3.4899496702501143E-2</v>
      </c>
      <c r="D180" s="1">
        <f t="shared" si="12"/>
        <v>3.3341195480124874E-2</v>
      </c>
      <c r="E180" s="1">
        <f t="shared" si="13"/>
        <v>0.1607683386908596</v>
      </c>
      <c r="F180" s="1">
        <f t="shared" si="14"/>
        <v>9.7677403511175334E-2</v>
      </c>
      <c r="G180" s="1">
        <f t="shared" si="15"/>
        <v>0.10871018474517041</v>
      </c>
    </row>
    <row r="181" spans="1:7" x14ac:dyDescent="0.25">
      <c r="A181" s="1">
        <v>179</v>
      </c>
      <c r="B181" s="1">
        <f t="shared" si="16"/>
        <v>3.12413936106985</v>
      </c>
      <c r="C181" s="1">
        <f t="shared" si="17"/>
        <v>1.7452406437283439E-2</v>
      </c>
      <c r="D181" s="1">
        <f t="shared" si="12"/>
        <v>1.7053815017274491E-2</v>
      </c>
      <c r="E181" s="1">
        <f t="shared" si="13"/>
        <v>8.2232009656127203E-2</v>
      </c>
      <c r="F181" s="1">
        <f t="shared" si="14"/>
        <v>6.181093646745961E-2</v>
      </c>
      <c r="G181" s="1">
        <f t="shared" si="15"/>
        <v>5.5604586291544932E-2</v>
      </c>
    </row>
    <row r="182" spans="1:7" x14ac:dyDescent="0.25">
      <c r="A182" s="1">
        <v>180</v>
      </c>
      <c r="B182" s="1">
        <f t="shared" si="16"/>
        <v>3.1415926535897931</v>
      </c>
      <c r="C182" s="1">
        <f t="shared" si="17"/>
        <v>1.22514845490862E-16</v>
      </c>
      <c r="D182" s="1">
        <f t="shared" si="12"/>
        <v>1.2251484549086198E-16</v>
      </c>
      <c r="E182" s="1">
        <f t="shared" si="13"/>
        <v>5.9075590694624549E-16</v>
      </c>
      <c r="F182" s="1">
        <f t="shared" si="14"/>
        <v>5.9075590694624401E-16</v>
      </c>
      <c r="G182" s="1">
        <f t="shared" si="15"/>
        <v>3.9946412525240772E-16</v>
      </c>
    </row>
    <row r="183" spans="1:7" x14ac:dyDescent="0.25">
      <c r="A183" s="1">
        <v>181</v>
      </c>
      <c r="B183" s="1">
        <f t="shared" si="16"/>
        <v>3.1590459461097362</v>
      </c>
      <c r="C183" s="1">
        <f t="shared" si="17"/>
        <v>-1.7452406437283192E-2</v>
      </c>
      <c r="D183" s="1">
        <f t="shared" si="12"/>
        <v>-1.7053815017274258E-2</v>
      </c>
      <c r="E183" s="1">
        <f t="shared" si="13"/>
        <v>-8.2232009656126079E-2</v>
      </c>
      <c r="F183" s="1">
        <f t="shared" si="14"/>
        <v>-6.1810936467458985E-2</v>
      </c>
      <c r="G183" s="1">
        <f t="shared" si="15"/>
        <v>-5.5604586291544175E-2</v>
      </c>
    </row>
    <row r="184" spans="1:7" x14ac:dyDescent="0.25">
      <c r="A184" s="1">
        <v>182</v>
      </c>
      <c r="B184" s="1">
        <f t="shared" si="16"/>
        <v>3.1764992386296798</v>
      </c>
      <c r="C184" s="1">
        <f t="shared" si="17"/>
        <v>-3.48994967025009E-2</v>
      </c>
      <c r="D184" s="1">
        <f t="shared" si="12"/>
        <v>-3.3341195480124652E-2</v>
      </c>
      <c r="E184" s="1">
        <f t="shared" si="13"/>
        <v>-0.16076833869085855</v>
      </c>
      <c r="F184" s="1">
        <f t="shared" si="14"/>
        <v>-9.7677403511174932E-2</v>
      </c>
      <c r="G184" s="1">
        <f t="shared" si="15"/>
        <v>-0.10871018474516969</v>
      </c>
    </row>
    <row r="185" spans="1:7" x14ac:dyDescent="0.25">
      <c r="A185" s="1">
        <v>183</v>
      </c>
      <c r="B185" s="1">
        <f t="shared" si="16"/>
        <v>3.1939525311496229</v>
      </c>
      <c r="C185" s="1">
        <f t="shared" si="17"/>
        <v>-5.2335956242943557E-2</v>
      </c>
      <c r="D185" s="1">
        <f t="shared" si="12"/>
        <v>-4.8908030410147477E-2</v>
      </c>
      <c r="E185" s="1">
        <f t="shared" si="13"/>
        <v>-0.23583025996679113</v>
      </c>
      <c r="F185" s="1">
        <f t="shared" si="14"/>
        <v>-0.12109484106130056</v>
      </c>
      <c r="G185" s="1">
        <f t="shared" si="15"/>
        <v>-0.15946641819064225</v>
      </c>
    </row>
    <row r="186" spans="1:7" x14ac:dyDescent="0.25">
      <c r="A186" s="1">
        <v>184</v>
      </c>
      <c r="B186" s="1">
        <f t="shared" si="16"/>
        <v>3.211405823669566</v>
      </c>
      <c r="C186" s="1">
        <f t="shared" si="17"/>
        <v>-6.9756473744124831E-2</v>
      </c>
      <c r="D186" s="1">
        <f t="shared" si="12"/>
        <v>-6.3796649293746496E-2</v>
      </c>
      <c r="E186" s="1">
        <f t="shared" si="13"/>
        <v>-0.30762188257805723</v>
      </c>
      <c r="F186" s="1">
        <f t="shared" si="14"/>
        <v>-0.13758193311031414</v>
      </c>
      <c r="G186" s="1">
        <f t="shared" si="15"/>
        <v>-0.20801130346331695</v>
      </c>
    </row>
    <row r="187" spans="1:7" x14ac:dyDescent="0.25">
      <c r="A187" s="1">
        <v>185</v>
      </c>
      <c r="B187" s="1">
        <f t="shared" si="16"/>
        <v>3.2288591161895095</v>
      </c>
      <c r="C187" s="1">
        <f t="shared" si="17"/>
        <v>-8.7155742747657944E-2</v>
      </c>
      <c r="D187" s="1">
        <f t="shared" si="12"/>
        <v>-7.8046157318960072E-2</v>
      </c>
      <c r="E187" s="1">
        <f t="shared" si="13"/>
        <v>-0.3763317683330919</v>
      </c>
      <c r="F187" s="1">
        <f t="shared" si="14"/>
        <v>-0.14981538264487076</v>
      </c>
      <c r="G187" s="1">
        <f t="shared" si="15"/>
        <v>-0.25447234445604844</v>
      </c>
    </row>
    <row r="188" spans="1:7" x14ac:dyDescent="0.25">
      <c r="A188" s="1">
        <v>186</v>
      </c>
      <c r="B188" s="1">
        <f t="shared" si="16"/>
        <v>3.246312408709453</v>
      </c>
      <c r="C188" s="1">
        <f t="shared" si="17"/>
        <v>-0.1045284632676535</v>
      </c>
      <c r="D188" s="1">
        <f t="shared" si="12"/>
        <v>-9.1692733502338655E-2</v>
      </c>
      <c r="E188" s="1">
        <f t="shared" si="13"/>
        <v>-0.4421343692964515</v>
      </c>
      <c r="F188" s="1">
        <f t="shared" si="14"/>
        <v>-0.15925068033884254</v>
      </c>
      <c r="G188" s="1">
        <f t="shared" si="15"/>
        <v>-0.29896750417275614</v>
      </c>
    </row>
    <row r="189" spans="1:7" x14ac:dyDescent="0.25">
      <c r="A189" s="1">
        <v>187</v>
      </c>
      <c r="B189" s="1">
        <f t="shared" si="16"/>
        <v>3.2637657012293966</v>
      </c>
      <c r="C189" s="1">
        <f t="shared" si="17"/>
        <v>-0.12186934340514774</v>
      </c>
      <c r="D189" s="1">
        <f t="shared" si="12"/>
        <v>-0.10476989640595447</v>
      </c>
      <c r="E189" s="1">
        <f t="shared" si="13"/>
        <v>-0.5051913090530753</v>
      </c>
      <c r="F189" s="1">
        <f t="shared" si="14"/>
        <v>-0.16674725251026434</v>
      </c>
      <c r="G189" s="1">
        <f t="shared" si="15"/>
        <v>-0.34160607110843216</v>
      </c>
    </row>
    <row r="190" spans="1:7" x14ac:dyDescent="0.25">
      <c r="A190" s="1">
        <v>188</v>
      </c>
      <c r="B190" s="1">
        <f t="shared" si="16"/>
        <v>3.2812189937493397</v>
      </c>
      <c r="C190" s="1">
        <f t="shared" si="17"/>
        <v>-0.13917310096006552</v>
      </c>
      <c r="D190" s="1">
        <f t="shared" si="12"/>
        <v>-0.11730874147663735</v>
      </c>
      <c r="E190" s="1">
        <f t="shared" si="13"/>
        <v>-0.56565252713739489</v>
      </c>
      <c r="F190" s="1">
        <f t="shared" si="14"/>
        <v>-0.17284525268819237</v>
      </c>
      <c r="G190" s="1">
        <f t="shared" si="15"/>
        <v>-0.38248943310238248</v>
      </c>
    </row>
    <row r="191" spans="1:7" x14ac:dyDescent="0.25">
      <c r="A191" s="1">
        <v>189</v>
      </c>
      <c r="B191" s="1">
        <f t="shared" si="16"/>
        <v>3.2986722862692828</v>
      </c>
      <c r="C191" s="1">
        <f t="shared" si="17"/>
        <v>-0.15643446504023073</v>
      </c>
      <c r="D191" s="1">
        <f t="shared" si="12"/>
        <v>-0.12933815347647115</v>
      </c>
      <c r="E191" s="1">
        <f t="shared" si="13"/>
        <v>-0.62365730335467306</v>
      </c>
      <c r="F191" s="1">
        <f t="shared" si="14"/>
        <v>-0.17790122163108751</v>
      </c>
      <c r="G191" s="1">
        <f t="shared" si="15"/>
        <v>-0.42171176997561344</v>
      </c>
    </row>
    <row r="192" spans="1:7" x14ac:dyDescent="0.25">
      <c r="A192" s="1">
        <v>190</v>
      </c>
      <c r="B192" s="1">
        <f t="shared" si="16"/>
        <v>3.3161255787892263</v>
      </c>
      <c r="C192" s="1">
        <f t="shared" si="17"/>
        <v>-0.17364817766693047</v>
      </c>
      <c r="D192" s="1">
        <f t="shared" si="12"/>
        <v>-0.14088499699743995</v>
      </c>
      <c r="E192" s="1">
        <f t="shared" si="13"/>
        <v>-0.67933517642602337</v>
      </c>
      <c r="F192" s="1">
        <f t="shared" si="14"/>
        <v>-0.1821599942693212</v>
      </c>
      <c r="G192" s="1">
        <f t="shared" si="15"/>
        <v>-0.45936067471078912</v>
      </c>
    </row>
    <row r="193" spans="1:7" x14ac:dyDescent="0.25">
      <c r="A193" s="1">
        <v>191</v>
      </c>
      <c r="B193" s="1">
        <f t="shared" si="16"/>
        <v>3.3335788713091694</v>
      </c>
      <c r="C193" s="1">
        <f t="shared" si="17"/>
        <v>-0.19080899537654472</v>
      </c>
      <c r="D193" s="1">
        <f t="shared" si="12"/>
        <v>-0.15197428764924242</v>
      </c>
      <c r="E193" s="1">
        <f t="shared" si="13"/>
        <v>-0.73280676944113043</v>
      </c>
      <c r="F193" s="1">
        <f t="shared" si="14"/>
        <v>-0.18579526869593324</v>
      </c>
      <c r="G193" s="1">
        <f t="shared" si="15"/>
        <v>-0.49551771161634833</v>
      </c>
    </row>
    <row r="194" spans="1:7" x14ac:dyDescent="0.25">
      <c r="A194" s="1">
        <v>192</v>
      </c>
      <c r="B194" s="1">
        <f t="shared" si="16"/>
        <v>3.3510321638291125</v>
      </c>
      <c r="C194" s="1">
        <f t="shared" si="17"/>
        <v>-0.20791169081775907</v>
      </c>
      <c r="D194" s="1">
        <f t="shared" si="12"/>
        <v>-0.16262934616570407</v>
      </c>
      <c r="E194" s="1">
        <f t="shared" si="13"/>
        <v>-0.78418453294593859</v>
      </c>
      <c r="F194" s="1">
        <f t="shared" si="14"/>
        <v>-0.18893369194430454</v>
      </c>
      <c r="G194" s="1">
        <f t="shared" si="15"/>
        <v>-0.53025891879608589</v>
      </c>
    </row>
    <row r="195" spans="1:7" x14ac:dyDescent="0.25">
      <c r="A195" s="1">
        <v>193</v>
      </c>
      <c r="B195" s="1">
        <f t="shared" si="16"/>
        <v>3.3684854563490561</v>
      </c>
      <c r="C195" s="1">
        <f t="shared" si="17"/>
        <v>-0.22495105434386498</v>
      </c>
      <c r="D195" s="1">
        <f t="shared" ref="D195:D258" si="18">C195/(1+Kv_acmin*ABS(C195))</f>
        <v>-0.17287193738206516</v>
      </c>
      <c r="E195" s="1">
        <f t="shared" ref="E195:E258" si="19">Ip_pk_min*D195</f>
        <v>-0.8335734150790215</v>
      </c>
      <c r="F195" s="1">
        <f t="shared" ref="F195:F258" si="20">E195/(1+Kv_acmax*ABS(E195))</f>
        <v>-0.19166978034721865</v>
      </c>
      <c r="G195" s="1">
        <f t="shared" ref="G195:G258" si="21">Ip_pk_max*D195</f>
        <v>-0.56365526128967247</v>
      </c>
    </row>
    <row r="196" spans="1:7" x14ac:dyDescent="0.25">
      <c r="A196" s="1">
        <v>194</v>
      </c>
      <c r="B196" s="1">
        <f t="shared" ref="B196:B259" si="22">A196/360*PI()*2</f>
        <v>3.3859387488689991</v>
      </c>
      <c r="C196" s="1">
        <f t="shared" ref="C196:C259" si="23">SIN(B196)</f>
        <v>-0.24192189559966751</v>
      </c>
      <c r="D196" s="1">
        <f t="shared" si="18"/>
        <v>-0.18272239578464014</v>
      </c>
      <c r="E196" s="1">
        <f t="shared" si="19"/>
        <v>-0.88107146696109717</v>
      </c>
      <c r="F196" s="1">
        <f t="shared" si="20"/>
        <v>-0.19407550082981093</v>
      </c>
      <c r="G196" s="1">
        <f t="shared" si="21"/>
        <v>-0.59577304043190171</v>
      </c>
    </row>
    <row r="197" spans="1:7" x14ac:dyDescent="0.25">
      <c r="A197" s="1">
        <v>195</v>
      </c>
      <c r="B197" s="1">
        <f t="shared" si="22"/>
        <v>3.4033920413889422</v>
      </c>
      <c r="C197" s="1">
        <f t="shared" si="23"/>
        <v>-0.25881904510252035</v>
      </c>
      <c r="D197" s="1">
        <f t="shared" si="18"/>
        <v>-0.19219973911921229</v>
      </c>
      <c r="E197" s="1">
        <f t="shared" si="19"/>
        <v>-0.92677039050480536</v>
      </c>
      <c r="F197" s="1">
        <f t="shared" si="20"/>
        <v>-0.19620661662321168</v>
      </c>
      <c r="G197" s="1">
        <f t="shared" si="21"/>
        <v>-0.6266742642770069</v>
      </c>
    </row>
    <row r="198" spans="1:7" x14ac:dyDescent="0.25">
      <c r="A198" s="1">
        <v>196</v>
      </c>
      <c r="B198" s="1">
        <f t="shared" si="22"/>
        <v>3.4208453339088853</v>
      </c>
      <c r="C198" s="1">
        <f t="shared" si="23"/>
        <v>-0.27563735581699861</v>
      </c>
      <c r="D198" s="1">
        <f t="shared" si="18"/>
        <v>-0.20132177135950519</v>
      </c>
      <c r="E198" s="1">
        <f t="shared" si="19"/>
        <v>-0.97075603491970253</v>
      </c>
      <c r="F198" s="1">
        <f t="shared" si="20"/>
        <v>-0.19810700422941444</v>
      </c>
      <c r="G198" s="1">
        <f t="shared" si="21"/>
        <v>-0.65641698333112064</v>
      </c>
    </row>
    <row r="199" spans="1:7" x14ac:dyDescent="0.25">
      <c r="A199" s="1">
        <v>197</v>
      </c>
      <c r="B199" s="1">
        <f t="shared" si="22"/>
        <v>3.4382986264288293</v>
      </c>
      <c r="C199" s="1">
        <f t="shared" si="23"/>
        <v>-0.29237170472273677</v>
      </c>
      <c r="D199" s="1">
        <f t="shared" si="18"/>
        <v>-0.21010517617756905</v>
      </c>
      <c r="E199" s="1">
        <f t="shared" si="19"/>
        <v>-1.0131088474183181</v>
      </c>
      <c r="F199" s="1">
        <f t="shared" si="20"/>
        <v>-0.19981166005511028</v>
      </c>
      <c r="G199" s="1">
        <f t="shared" si="21"/>
        <v>-0.68505559531588101</v>
      </c>
    </row>
    <row r="200" spans="1:7" x14ac:dyDescent="0.25">
      <c r="A200" s="1">
        <v>198</v>
      </c>
      <c r="B200" s="1">
        <f t="shared" si="22"/>
        <v>3.4557519189487729</v>
      </c>
      <c r="C200" s="1">
        <f t="shared" si="23"/>
        <v>-0.30901699437494773</v>
      </c>
      <c r="D200" s="1">
        <f t="shared" si="18"/>
        <v>-0.21856560192005539</v>
      </c>
      <c r="E200" s="1">
        <f t="shared" si="19"/>
        <v>-1.0539042829643448</v>
      </c>
      <c r="F200" s="1">
        <f t="shared" si="20"/>
        <v>-0.20134883838377207</v>
      </c>
      <c r="G200" s="1">
        <f t="shared" si="21"/>
        <v>-0.71264112223667642</v>
      </c>
    </row>
    <row r="201" spans="1:7" x14ac:dyDescent="0.25">
      <c r="A201" s="1">
        <v>199</v>
      </c>
      <c r="B201" s="1">
        <f t="shared" si="22"/>
        <v>3.473205211468716</v>
      </c>
      <c r="C201" s="1">
        <f t="shared" si="23"/>
        <v>-0.32556815445715676</v>
      </c>
      <c r="D201" s="1">
        <f t="shared" si="18"/>
        <v>-0.22671773897494485</v>
      </c>
      <c r="E201" s="1">
        <f t="shared" si="19"/>
        <v>-1.093213177328257</v>
      </c>
      <c r="F201" s="1">
        <f t="shared" si="20"/>
        <v>-0.20274160003195921</v>
      </c>
      <c r="G201" s="1">
        <f t="shared" si="21"/>
        <v>-0.73922146263968536</v>
      </c>
    </row>
    <row r="202" spans="1:7" x14ac:dyDescent="0.25">
      <c r="A202" s="1">
        <v>200</v>
      </c>
      <c r="B202" s="1">
        <f t="shared" si="22"/>
        <v>3.4906585039886591</v>
      </c>
      <c r="C202" s="1">
        <f t="shared" si="23"/>
        <v>-0.34202014332566866</v>
      </c>
      <c r="D202" s="1">
        <f t="shared" si="18"/>
        <v>-0.23457539030960378</v>
      </c>
      <c r="E202" s="1">
        <f t="shared" si="19"/>
        <v>-1.1311020872156718</v>
      </c>
      <c r="F202" s="1">
        <f t="shared" si="20"/>
        <v>-0.20400895287927129</v>
      </c>
      <c r="G202" s="1">
        <f t="shared" si="21"/>
        <v>-0.76484162160378466</v>
      </c>
    </row>
    <row r="203" spans="1:7" x14ac:dyDescent="0.25">
      <c r="A203" s="1">
        <v>201</v>
      </c>
      <c r="B203" s="1">
        <f t="shared" si="22"/>
        <v>3.5081117965086026</v>
      </c>
      <c r="C203" s="1">
        <f t="shared" si="23"/>
        <v>-0.35836794954530043</v>
      </c>
      <c r="D203" s="1">
        <f t="shared" si="18"/>
        <v>-0.24215153587083979</v>
      </c>
      <c r="E203" s="1">
        <f t="shared" si="19"/>
        <v>-1.1676336007988037</v>
      </c>
      <c r="F203" s="1">
        <f t="shared" si="20"/>
        <v>-0.20516670447379565</v>
      </c>
      <c r="G203" s="1">
        <f t="shared" si="21"/>
        <v>-0.7895439207192807</v>
      </c>
    </row>
    <row r="204" spans="1:7" x14ac:dyDescent="0.25">
      <c r="A204" s="1">
        <v>202</v>
      </c>
      <c r="B204" s="1">
        <f t="shared" si="22"/>
        <v>3.5255650890285457</v>
      </c>
      <c r="C204" s="1">
        <f t="shared" si="23"/>
        <v>-0.37460659341591201</v>
      </c>
      <c r="D204" s="1">
        <f t="shared" si="18"/>
        <v>-0.24945839145896526</v>
      </c>
      <c r="E204" s="1">
        <f t="shared" si="19"/>
        <v>-1.2028666216020685</v>
      </c>
      <c r="F204" s="1">
        <f t="shared" si="20"/>
        <v>-0.20622810808904263</v>
      </c>
      <c r="G204" s="1">
        <f t="shared" si="21"/>
        <v>-0.81336819004894256</v>
      </c>
    </row>
    <row r="205" spans="1:7" x14ac:dyDescent="0.25">
      <c r="A205" s="1">
        <v>203</v>
      </c>
      <c r="B205" s="1">
        <f t="shared" si="22"/>
        <v>3.5430183815484888</v>
      </c>
      <c r="C205" s="1">
        <f t="shared" si="23"/>
        <v>-0.39073112848927355</v>
      </c>
      <c r="D205" s="1">
        <f t="shared" si="18"/>
        <v>-0.25650746261915003</v>
      </c>
      <c r="E205" s="1">
        <f t="shared" si="19"/>
        <v>-1.2368566283614877</v>
      </c>
      <c r="F205" s="1">
        <f t="shared" si="20"/>
        <v>-0.20720435834355735</v>
      </c>
      <c r="G205" s="1">
        <f t="shared" si="21"/>
        <v>-0.83635194384272427</v>
      </c>
    </row>
    <row r="206" spans="1:7" x14ac:dyDescent="0.25">
      <c r="A206" s="1">
        <v>204</v>
      </c>
      <c r="B206" s="1">
        <f t="shared" si="22"/>
        <v>3.5604716740684319</v>
      </c>
      <c r="C206" s="1">
        <f t="shared" si="23"/>
        <v>-0.40673664307579982</v>
      </c>
      <c r="D206" s="1">
        <f t="shared" si="18"/>
        <v>-0.26330959403316873</v>
      </c>
      <c r="E206" s="1">
        <f t="shared" si="19"/>
        <v>-1.2696559131873897</v>
      </c>
      <c r="F206" s="1">
        <f t="shared" si="20"/>
        <v>-0.20810497572437581</v>
      </c>
      <c r="G206" s="1">
        <f t="shared" si="21"/>
        <v>-0.85853054158135977</v>
      </c>
    </row>
    <row r="207" spans="1:7" x14ac:dyDescent="0.25">
      <c r="A207" s="1">
        <v>205</v>
      </c>
      <c r="B207" s="1">
        <f t="shared" si="22"/>
        <v>3.5779249665883754</v>
      </c>
      <c r="C207" s="1">
        <f t="shared" si="23"/>
        <v>-0.42261826174069927</v>
      </c>
      <c r="D207" s="1">
        <f t="shared" si="18"/>
        <v>-0.26987501484187265</v>
      </c>
      <c r="E207" s="1">
        <f t="shared" si="19"/>
        <v>-1.3013138001054199</v>
      </c>
      <c r="F207" s="1">
        <f t="shared" si="20"/>
        <v>-0.2089381080209953</v>
      </c>
      <c r="G207" s="1">
        <f t="shared" si="21"/>
        <v>-0.87993733575193633</v>
      </c>
    </row>
    <row r="208" spans="1:7" x14ac:dyDescent="0.25">
      <c r="A208" s="1">
        <v>206</v>
      </c>
      <c r="B208" s="1">
        <f t="shared" si="22"/>
        <v>3.5953782591083185</v>
      </c>
      <c r="C208" s="1">
        <f t="shared" si="23"/>
        <v>-0.43837114678907707</v>
      </c>
      <c r="D208" s="1">
        <f t="shared" si="18"/>
        <v>-0.276213380282327</v>
      </c>
      <c r="E208" s="1">
        <f t="shared" si="19"/>
        <v>-1.3318768458271861</v>
      </c>
      <c r="F208" s="1">
        <f t="shared" si="20"/>
        <v>-0.20971076888807605</v>
      </c>
      <c r="G208" s="1">
        <f t="shared" si="21"/>
        <v>-0.90060380760730041</v>
      </c>
    </row>
    <row r="209" spans="1:7" x14ac:dyDescent="0.25">
      <c r="A209" s="1">
        <v>207</v>
      </c>
      <c r="B209" s="1">
        <f t="shared" si="22"/>
        <v>3.6128315516282616</v>
      </c>
      <c r="C209" s="1">
        <f t="shared" si="23"/>
        <v>-0.45399049973954625</v>
      </c>
      <c r="D209" s="1">
        <f t="shared" si="18"/>
        <v>-0.28233380998271579</v>
      </c>
      <c r="E209" s="1">
        <f t="shared" si="19"/>
        <v>-1.3613890244049536</v>
      </c>
      <c r="F209" s="1">
        <f t="shared" si="20"/>
        <v>-0.21042902832143115</v>
      </c>
      <c r="G209" s="1">
        <f t="shared" si="21"/>
        <v>-0.92055969202799315</v>
      </c>
    </row>
    <row r="210" spans="1:7" x14ac:dyDescent="0.25">
      <c r="A210" s="1">
        <v>208</v>
      </c>
      <c r="B210" s="1">
        <f t="shared" si="22"/>
        <v>3.6302848441482052</v>
      </c>
      <c r="C210" s="1">
        <f t="shared" si="23"/>
        <v>-0.46947156278589047</v>
      </c>
      <c r="D210" s="1">
        <f t="shared" si="18"/>
        <v>-0.28824492322209322</v>
      </c>
      <c r="E210" s="1">
        <f t="shared" si="19"/>
        <v>-1.3898918972510923</v>
      </c>
      <c r="F210" s="1">
        <f t="shared" si="20"/>
        <v>-0.21109816598764561</v>
      </c>
      <c r="G210" s="1">
        <f t="shared" si="21"/>
        <v>-0.93983309248795577</v>
      </c>
    </row>
    <row r="211" spans="1:7" x14ac:dyDescent="0.25">
      <c r="A211" s="1">
        <v>209</v>
      </c>
      <c r="B211" s="1">
        <f t="shared" si="22"/>
        <v>3.6477381366681492</v>
      </c>
      <c r="C211" s="1">
        <f t="shared" si="23"/>
        <v>-0.48480962024633734</v>
      </c>
      <c r="D211" s="1">
        <f t="shared" si="18"/>
        <v>-0.29395487143023602</v>
      </c>
      <c r="E211" s="1">
        <f t="shared" si="19"/>
        <v>-1.4174247698495326</v>
      </c>
      <c r="F211" s="1">
        <f t="shared" si="20"/>
        <v>-0.21172279559254797</v>
      </c>
      <c r="G211" s="1">
        <f t="shared" si="21"/>
        <v>-0.95845058702148511</v>
      </c>
    </row>
    <row r="212" spans="1:7" x14ac:dyDescent="0.25">
      <c r="A212" s="1">
        <v>210</v>
      </c>
      <c r="B212" s="1">
        <f t="shared" si="22"/>
        <v>3.6651914291880923</v>
      </c>
      <c r="C212" s="1">
        <f t="shared" si="23"/>
        <v>-0.50000000000000011</v>
      </c>
      <c r="D212" s="1">
        <f t="shared" si="18"/>
        <v>-0.29947136817468489</v>
      </c>
      <c r="E212" s="1">
        <f t="shared" si="19"/>
        <v>-1.4440248363506651</v>
      </c>
      <c r="F212" s="1">
        <f t="shared" si="20"/>
        <v>-0.21230696647537436</v>
      </c>
      <c r="G212" s="1">
        <f t="shared" si="21"/>
        <v>-0.97643732599707633</v>
      </c>
    </row>
    <row r="213" spans="1:7" x14ac:dyDescent="0.25">
      <c r="A213" s="1">
        <v>211</v>
      </c>
      <c r="B213" s="1">
        <f t="shared" si="22"/>
        <v>3.6826447217080354</v>
      </c>
      <c r="C213" s="1">
        <f t="shared" si="23"/>
        <v>-0.51503807491005416</v>
      </c>
      <c r="D213" s="1">
        <f t="shared" si="18"/>
        <v>-0.30480171685709551</v>
      </c>
      <c r="E213" s="1">
        <f t="shared" si="19"/>
        <v>-1.4697273131207318</v>
      </c>
      <c r="F213" s="1">
        <f t="shared" si="20"/>
        <v>-0.21285424714970475</v>
      </c>
      <c r="G213" s="1">
        <f t="shared" si="21"/>
        <v>-0.99381712242238629</v>
      </c>
    </row>
    <row r="214" spans="1:7" x14ac:dyDescent="0.25">
      <c r="A214" s="1">
        <v>212</v>
      </c>
      <c r="B214" s="1">
        <f t="shared" si="22"/>
        <v>3.7000980142279785</v>
      </c>
      <c r="C214" s="1">
        <f t="shared" si="23"/>
        <v>-0.52991926423320479</v>
      </c>
      <c r="D214" s="1">
        <f t="shared" si="18"/>
        <v>-0.30995283631884457</v>
      </c>
      <c r="E214" s="1">
        <f t="shared" si="19"/>
        <v>-1.4945655622098271</v>
      </c>
      <c r="F214" s="1">
        <f t="shared" si="20"/>
        <v>-0.21336779442592582</v>
      </c>
      <c r="G214" s="1">
        <f t="shared" si="21"/>
        <v>-1.0106125354322466</v>
      </c>
    </row>
    <row r="215" spans="1:7" x14ac:dyDescent="0.25">
      <c r="A215" s="1">
        <v>213</v>
      </c>
      <c r="B215" s="1">
        <f t="shared" si="22"/>
        <v>3.717551306747922</v>
      </c>
      <c r="C215" s="1">
        <f t="shared" si="23"/>
        <v>-0.54463903501502708</v>
      </c>
      <c r="D215" s="1">
        <f t="shared" si="18"/>
        <v>-0.31493128453613001</v>
      </c>
      <c r="E215" s="1">
        <f t="shared" si="19"/>
        <v>-1.5185712056076039</v>
      </c>
      <c r="F215" s="1">
        <f t="shared" si="20"/>
        <v>-0.21385041093699522</v>
      </c>
      <c r="G215" s="1">
        <f t="shared" si="21"/>
        <v>-1.0268449475474026</v>
      </c>
    </row>
    <row r="216" spans="1:7" x14ac:dyDescent="0.25">
      <c r="A216" s="1">
        <v>214</v>
      </c>
      <c r="B216" s="1">
        <f t="shared" si="22"/>
        <v>3.7350045992678651</v>
      </c>
      <c r="C216" s="1">
        <f t="shared" si="23"/>
        <v>-0.55919290347074668</v>
      </c>
      <c r="D216" s="1">
        <f t="shared" si="18"/>
        <v>-0.31974328056724155</v>
      </c>
      <c r="E216" s="1">
        <f t="shared" si="19"/>
        <v>-1.5417742310711022</v>
      </c>
      <c r="F216" s="1">
        <f t="shared" si="20"/>
        <v>-0.2143045932753056</v>
      </c>
      <c r="G216" s="1">
        <f t="shared" si="21"/>
        <v>-1.0425346362343904</v>
      </c>
    </row>
    <row r="217" spans="1:7" x14ac:dyDescent="0.25">
      <c r="A217" s="1">
        <v>215</v>
      </c>
      <c r="B217" s="1">
        <f t="shared" si="22"/>
        <v>3.7524578917878082</v>
      </c>
      <c r="C217" s="1">
        <f t="shared" si="23"/>
        <v>-0.57357643635104583</v>
      </c>
      <c r="D217" s="1">
        <f t="shared" si="18"/>
        <v>-0.32439472489902116</v>
      </c>
      <c r="E217" s="1">
        <f t="shared" si="19"/>
        <v>-1.5642030902336059</v>
      </c>
      <c r="F217" s="1">
        <f t="shared" si="20"/>
        <v>-0.21473257248078079</v>
      </c>
      <c r="G217" s="1">
        <f t="shared" si="21"/>
        <v>-1.0577008402459132</v>
      </c>
    </row>
    <row r="218" spans="1:7" x14ac:dyDescent="0.25">
      <c r="A218" s="1">
        <v>216</v>
      </c>
      <c r="B218" s="1">
        <f t="shared" si="22"/>
        <v>3.7699111843077517</v>
      </c>
      <c r="C218" s="1">
        <f t="shared" si="23"/>
        <v>-0.58778525229247303</v>
      </c>
      <c r="D218" s="1">
        <f t="shared" si="18"/>
        <v>-0.32889121832554064</v>
      </c>
      <c r="E218" s="1">
        <f t="shared" si="19"/>
        <v>-1.5858847896359813</v>
      </c>
      <c r="F218" s="1">
        <f t="shared" si="20"/>
        <v>-0.21513634826124203</v>
      </c>
      <c r="G218" s="1">
        <f t="shared" si="21"/>
        <v>-1.0723618211754591</v>
      </c>
    </row>
    <row r="219" spans="1:7" x14ac:dyDescent="0.25">
      <c r="A219" s="1">
        <v>217</v>
      </c>
      <c r="B219" s="1">
        <f t="shared" si="22"/>
        <v>3.7873644768276948</v>
      </c>
      <c r="C219" s="1">
        <f t="shared" si="23"/>
        <v>-0.60181502315204805</v>
      </c>
      <c r="D219" s="1">
        <f t="shared" si="18"/>
        <v>-0.33323807947951845</v>
      </c>
      <c r="E219" s="1">
        <f t="shared" si="19"/>
        <v>-1.6068449752616416</v>
      </c>
      <c r="F219" s="1">
        <f t="shared" si="20"/>
        <v>-0.21551771804825484</v>
      </c>
      <c r="G219" s="1">
        <f t="shared" si="21"/>
        <v>-1.0865349206191257</v>
      </c>
    </row>
    <row r="220" spans="1:7" x14ac:dyDescent="0.25">
      <c r="A220" s="1">
        <v>218</v>
      </c>
      <c r="B220" s="1">
        <f t="shared" si="22"/>
        <v>3.8048177693476379</v>
      </c>
      <c r="C220" s="1">
        <f t="shared" si="23"/>
        <v>-0.61566147532565785</v>
      </c>
      <c r="D220" s="1">
        <f t="shared" si="18"/>
        <v>-0.33744036112578779</v>
      </c>
      <c r="E220" s="1">
        <f t="shared" si="19"/>
        <v>-1.6271080111022296</v>
      </c>
      <c r="F220" s="1">
        <f t="shared" si="20"/>
        <v>-0.21587830177517525</v>
      </c>
      <c r="G220" s="1">
        <f t="shared" si="21"/>
        <v>-1.1002366133010664</v>
      </c>
    </row>
    <row r="221" spans="1:7" x14ac:dyDescent="0.25">
      <c r="A221" s="1">
        <v>219</v>
      </c>
      <c r="B221" s="1">
        <f t="shared" si="22"/>
        <v>3.8222710618675815</v>
      </c>
      <c r="C221" s="1">
        <f t="shared" si="23"/>
        <v>-0.62932039104983717</v>
      </c>
      <c r="D221" s="1">
        <f t="shared" si="18"/>
        <v>-0.34150286531607688</v>
      </c>
      <c r="E221" s="1">
        <f t="shared" si="19"/>
        <v>-1.6466970522326463</v>
      </c>
      <c r="F221" s="1">
        <f t="shared" si="20"/>
        <v>-0.21621956309427104</v>
      </c>
      <c r="G221" s="1">
        <f t="shared" si="21"/>
        <v>-1.1134825564862054</v>
      </c>
    </row>
    <row r="222" spans="1:7" x14ac:dyDescent="0.25">
      <c r="A222" s="1">
        <v>220</v>
      </c>
      <c r="B222" s="1">
        <f t="shared" si="22"/>
        <v>3.839724354387525</v>
      </c>
      <c r="C222" s="1">
        <f t="shared" si="23"/>
        <v>-0.64278760968653925</v>
      </c>
      <c r="D222" s="1">
        <f t="shared" si="18"/>
        <v>-0.34543015749533951</v>
      </c>
      <c r="E222" s="1">
        <f t="shared" si="19"/>
        <v>-1.6656341128305494</v>
      </c>
      <c r="F222" s="1">
        <f t="shared" si="20"/>
        <v>-0.21654282761569205</v>
      </c>
      <c r="G222" s="1">
        <f t="shared" si="21"/>
        <v>-1.1262876359744443</v>
      </c>
    </row>
    <row r="223" spans="1:7" x14ac:dyDescent="0.25">
      <c r="A223" s="1">
        <v>221</v>
      </c>
      <c r="B223" s="1">
        <f t="shared" si="22"/>
        <v>3.8571776469074686</v>
      </c>
      <c r="C223" s="1">
        <f t="shared" si="23"/>
        <v>-0.65605902899050739</v>
      </c>
      <c r="D223" s="1">
        <f t="shared" si="18"/>
        <v>-0.34922657964175452</v>
      </c>
      <c r="E223" s="1">
        <f t="shared" si="19"/>
        <v>-1.6839401295362839</v>
      </c>
      <c r="F223" s="1">
        <f t="shared" si="20"/>
        <v>-0.21684929864453836</v>
      </c>
      <c r="G223" s="1">
        <f t="shared" si="21"/>
        <v>-1.1386660089441074</v>
      </c>
    </row>
    <row r="224" spans="1:7" x14ac:dyDescent="0.25">
      <c r="A224" s="1">
        <v>222</v>
      </c>
      <c r="B224" s="1">
        <f t="shared" si="22"/>
        <v>3.8746309394274117</v>
      </c>
      <c r="C224" s="1">
        <f t="shared" si="23"/>
        <v>-0.66913060635885824</v>
      </c>
      <c r="D224" s="1">
        <f t="shared" si="18"/>
        <v>-0.35289626251520745</v>
      </c>
      <c r="E224" s="1">
        <f t="shared" si="19"/>
        <v>-1.7016350205139941</v>
      </c>
      <c r="F224" s="1">
        <f t="shared" si="20"/>
        <v>-0.21714007080716399</v>
      </c>
      <c r="G224" s="1">
        <f t="shared" si="21"/>
        <v>-1.1506311438885657</v>
      </c>
    </row>
    <row r="225" spans="1:7" x14ac:dyDescent="0.25">
      <c r="A225" s="1">
        <v>223</v>
      </c>
      <c r="B225" s="1">
        <f t="shared" si="22"/>
        <v>3.8920842319473548</v>
      </c>
      <c r="C225" s="1">
        <f t="shared" si="23"/>
        <v>-0.68199836006249837</v>
      </c>
      <c r="D225" s="1">
        <f t="shared" si="18"/>
        <v>-0.35644313708247904</v>
      </c>
      <c r="E225" s="1">
        <f t="shared" si="19"/>
        <v>-1.7187377405428854</v>
      </c>
      <c r="F225" s="1">
        <f t="shared" si="20"/>
        <v>-0.21741614188948052</v>
      </c>
      <c r="G225" s="1">
        <f t="shared" si="21"/>
        <v>-1.1621958578684795</v>
      </c>
    </row>
    <row r="226" spans="1:7" x14ac:dyDescent="0.25">
      <c r="A226" s="1">
        <v>224</v>
      </c>
      <c r="B226" s="1">
        <f t="shared" si="22"/>
        <v>3.9095375244672983</v>
      </c>
      <c r="C226" s="1">
        <f t="shared" si="23"/>
        <v>-0.69465837045899737</v>
      </c>
      <c r="D226" s="1">
        <f t="shared" si="18"/>
        <v>-0.35987094518142121</v>
      </c>
      <c r="E226" s="1">
        <f t="shared" si="19"/>
        <v>-1.7352663324389532</v>
      </c>
      <c r="F226" s="1">
        <f t="shared" si="20"/>
        <v>-0.21767842315480893</v>
      </c>
      <c r="G226" s="1">
        <f t="shared" si="21"/>
        <v>-1.1733723512827341</v>
      </c>
    </row>
    <row r="227" spans="1:7" x14ac:dyDescent="0.25">
      <c r="A227" s="1">
        <v>225</v>
      </c>
      <c r="B227" s="1">
        <f t="shared" si="22"/>
        <v>3.9269908169872414</v>
      </c>
      <c r="C227" s="1">
        <f t="shared" si="23"/>
        <v>-0.70710678118654746</v>
      </c>
      <c r="D227" s="1">
        <f t="shared" si="18"/>
        <v>-0.36318324948102831</v>
      </c>
      <c r="E227" s="1">
        <f t="shared" si="19"/>
        <v>-1.7512379750815772</v>
      </c>
      <c r="F227" s="1">
        <f t="shared" si="20"/>
        <v>-0.21792774836401455</v>
      </c>
      <c r="G227" s="1">
        <f t="shared" si="21"/>
        <v>-1.1841722403436157</v>
      </c>
    </row>
    <row r="228" spans="1:7" x14ac:dyDescent="0.25">
      <c r="A228" s="1">
        <v>226</v>
      </c>
      <c r="B228" s="1">
        <f t="shared" si="22"/>
        <v>3.9444441095071845</v>
      </c>
      <c r="C228" s="1">
        <f t="shared" si="23"/>
        <v>-0.71933980033865086</v>
      </c>
      <c r="D228" s="1">
        <f t="shared" si="18"/>
        <v>-0.36638344278945406</v>
      </c>
      <c r="E228" s="1">
        <f t="shared" si="19"/>
        <v>-1.7666690282959681</v>
      </c>
      <c r="F228" s="1">
        <f t="shared" si="20"/>
        <v>-0.21816488168411718</v>
      </c>
      <c r="G228" s="1">
        <f t="shared" si="21"/>
        <v>-1.1946065874259393</v>
      </c>
    </row>
    <row r="229" spans="1:7" x14ac:dyDescent="0.25">
      <c r="A229" s="1">
        <v>227</v>
      </c>
      <c r="B229" s="1">
        <f t="shared" si="22"/>
        <v>3.961897402027128</v>
      </c>
      <c r="C229" s="1">
        <f t="shared" si="23"/>
        <v>-0.73135370161917046</v>
      </c>
      <c r="D229" s="1">
        <f t="shared" si="18"/>
        <v>-0.36947475675762015</v>
      </c>
      <c r="E229" s="1">
        <f t="shared" si="19"/>
        <v>-1.7815750748212096</v>
      </c>
      <c r="F229" s="1">
        <f t="shared" si="20"/>
        <v>-0.21839052464163453</v>
      </c>
      <c r="G229" s="1">
        <f t="shared" si="21"/>
        <v>-1.2046859294454835</v>
      </c>
    </row>
    <row r="230" spans="1:7" x14ac:dyDescent="0.25">
      <c r="A230" s="1">
        <v>228</v>
      </c>
      <c r="B230" s="1">
        <f t="shared" si="22"/>
        <v>3.9793506945470711</v>
      </c>
      <c r="C230" s="1">
        <f t="shared" si="23"/>
        <v>-0.74314482547739402</v>
      </c>
      <c r="D230" s="1">
        <f t="shared" si="18"/>
        <v>-0.37246027002207449</v>
      </c>
      <c r="E230" s="1">
        <f t="shared" si="19"/>
        <v>-1.7959709595744113</v>
      </c>
      <c r="F230" s="1">
        <f t="shared" si="20"/>
        <v>-0.21860532225228652</v>
      </c>
      <c r="G230" s="1">
        <f t="shared" si="21"/>
        <v>-1.2144203044090764</v>
      </c>
    </row>
    <row r="231" spans="1:7" x14ac:dyDescent="0.25">
      <c r="A231" s="1">
        <v>229</v>
      </c>
      <c r="B231" s="1">
        <f t="shared" si="22"/>
        <v>3.9968039870670142</v>
      </c>
      <c r="C231" s="1">
        <f t="shared" si="23"/>
        <v>-0.75470958022277168</v>
      </c>
      <c r="D231" s="1">
        <f t="shared" si="18"/>
        <v>-0.37534291582713708</v>
      </c>
      <c r="E231" s="1">
        <f t="shared" si="19"/>
        <v>-1.809870826404032</v>
      </c>
      <c r="F231" s="1">
        <f t="shared" si="20"/>
        <v>-0.21880986843834405</v>
      </c>
      <c r="G231" s="1">
        <f t="shared" si="21"/>
        <v>-1.2238192762668807</v>
      </c>
    </row>
    <row r="232" spans="1:7" x14ac:dyDescent="0.25">
      <c r="A232" s="1">
        <v>230</v>
      </c>
      <c r="B232" s="1">
        <f t="shared" si="22"/>
        <v>4.0142572795869578</v>
      </c>
      <c r="C232" s="1">
        <f t="shared" si="23"/>
        <v>-0.7660444431189779</v>
      </c>
      <c r="D232" s="1">
        <f t="shared" si="18"/>
        <v>-0.37812548916307548</v>
      </c>
      <c r="E232" s="1">
        <f t="shared" si="19"/>
        <v>-1.8232881525095392</v>
      </c>
      <c r="F232" s="1">
        <f t="shared" si="20"/>
        <v>-0.21900471082802653</v>
      </c>
      <c r="G232" s="1">
        <f t="shared" si="21"/>
        <v>-1.2328919581866749</v>
      </c>
    </row>
    <row r="233" spans="1:7" x14ac:dyDescent="0.25">
      <c r="A233" s="1">
        <v>231</v>
      </c>
      <c r="B233" s="1">
        <f t="shared" si="22"/>
        <v>4.0317105721069018</v>
      </c>
      <c r="C233" s="1">
        <f t="shared" si="23"/>
        <v>-0.77714596145697112</v>
      </c>
      <c r="D233" s="1">
        <f t="shared" si="18"/>
        <v>-0.38081065345406367</v>
      </c>
      <c r="E233" s="1">
        <f t="shared" si="19"/>
        <v>-1.8362357806901644</v>
      </c>
      <c r="F233" s="1">
        <f t="shared" si="20"/>
        <v>-0.21919035501730155</v>
      </c>
      <c r="G233" s="1">
        <f t="shared" si="21"/>
        <v>-1.2416470343601873</v>
      </c>
    </row>
    <row r="234" spans="1:7" x14ac:dyDescent="0.25">
      <c r="A234" s="1">
        <v>232</v>
      </c>
      <c r="B234" s="1">
        <f t="shared" si="22"/>
        <v>4.0491638646268449</v>
      </c>
      <c r="C234" s="1">
        <f t="shared" si="23"/>
        <v>-0.78801075360672213</v>
      </c>
      <c r="D234" s="1">
        <f t="shared" si="18"/>
        <v>-0.38340094682694942</v>
      </c>
      <c r="E234" s="1">
        <f t="shared" si="19"/>
        <v>-1.8487259495723518</v>
      </c>
      <c r="F234" s="1">
        <f t="shared" si="20"/>
        <v>-0.2193672683626961</v>
      </c>
      <c r="G234" s="1">
        <f t="shared" si="21"/>
        <v>-1.2500927804426412</v>
      </c>
    </row>
    <row r="235" spans="1:7" x14ac:dyDescent="0.25">
      <c r="A235" s="1">
        <v>233</v>
      </c>
      <c r="B235" s="1">
        <f t="shared" si="22"/>
        <v>4.066617157146788</v>
      </c>
      <c r="C235" s="1">
        <f t="shared" si="23"/>
        <v>-0.79863551004729283</v>
      </c>
      <c r="D235" s="1">
        <f t="shared" si="18"/>
        <v>-0.38589878798937405</v>
      </c>
      <c r="E235" s="1">
        <f t="shared" si="19"/>
        <v>-1.8607703219535412</v>
      </c>
      <c r="F235" s="1">
        <f t="shared" si="20"/>
        <v>-0.21953588336388061</v>
      </c>
      <c r="G235" s="1">
        <f t="shared" si="21"/>
        <v>-1.2582370827185791</v>
      </c>
    </row>
    <row r="236" spans="1:7" x14ac:dyDescent="0.25">
      <c r="A236" s="1">
        <v>234</v>
      </c>
      <c r="B236" s="1">
        <f t="shared" si="22"/>
        <v>4.0840704496667311</v>
      </c>
      <c r="C236" s="1">
        <f t="shared" si="23"/>
        <v>-0.80901699437494734</v>
      </c>
      <c r="D236" s="1">
        <f t="shared" si="18"/>
        <v>-0.38830648174351645</v>
      </c>
      <c r="E236" s="1">
        <f t="shared" si="19"/>
        <v>-1.8723800113889597</v>
      </c>
      <c r="F236" s="1">
        <f t="shared" si="20"/>
        <v>-0.21969660068649874</v>
      </c>
      <c r="G236" s="1">
        <f t="shared" si="21"/>
        <v>-1.2660874560796256</v>
      </c>
    </row>
    <row r="237" spans="1:7" x14ac:dyDescent="0.25">
      <c r="A237" s="1">
        <v>235</v>
      </c>
      <c r="B237" s="1">
        <f t="shared" si="22"/>
        <v>4.1015237421866741</v>
      </c>
      <c r="C237" s="1">
        <f t="shared" si="23"/>
        <v>-0.81915204428899158</v>
      </c>
      <c r="D237" s="1">
        <f t="shared" si="18"/>
        <v>-0.39062622415966791</v>
      </c>
      <c r="E237" s="1">
        <f t="shared" si="19"/>
        <v>-1.8835656071381495</v>
      </c>
      <c r="F237" s="1">
        <f t="shared" si="20"/>
        <v>-0.2198497918687195</v>
      </c>
      <c r="G237" s="1">
        <f t="shared" si="21"/>
        <v>-1.2736510608931171</v>
      </c>
    </row>
    <row r="238" spans="1:7" x14ac:dyDescent="0.25">
      <c r="A238" s="1">
        <v>236</v>
      </c>
      <c r="B238" s="1">
        <f t="shared" si="22"/>
        <v>4.1189770347066172</v>
      </c>
      <c r="C238" s="1">
        <f t="shared" si="23"/>
        <v>-0.8290375725550414</v>
      </c>
      <c r="D238" s="1">
        <f t="shared" si="18"/>
        <v>-0.39286010743195054</v>
      </c>
      <c r="E238" s="1">
        <f t="shared" si="19"/>
        <v>-1.8943371975788184</v>
      </c>
      <c r="F238" s="1">
        <f t="shared" si="20"/>
        <v>-0.21999580174906261</v>
      </c>
      <c r="G238" s="1">
        <f t="shared" si="21"/>
        <v>-1.2809347188343494</v>
      </c>
    </row>
    <row r="239" spans="1:7" x14ac:dyDescent="0.25">
      <c r="A239" s="1">
        <v>237</v>
      </c>
      <c r="B239" s="1">
        <f t="shared" si="22"/>
        <v>4.1364303272265612</v>
      </c>
      <c r="C239" s="1">
        <f t="shared" si="23"/>
        <v>-0.83867056794542405</v>
      </c>
      <c r="D239" s="1">
        <f t="shared" si="18"/>
        <v>-0.39501012443675559</v>
      </c>
      <c r="E239" s="1">
        <f t="shared" si="19"/>
        <v>-1.9047043921872315</v>
      </c>
      <c r="F239" s="1">
        <f t="shared" si="20"/>
        <v>-0.22013495064801308</v>
      </c>
      <c r="G239" s="1">
        <f t="shared" si="21"/>
        <v>-1.2879449277495321</v>
      </c>
    </row>
    <row r="240" spans="1:7" x14ac:dyDescent="0.25">
      <c r="A240" s="1">
        <v>238</v>
      </c>
      <c r="B240" s="1">
        <f t="shared" si="22"/>
        <v>4.1538836197465043</v>
      </c>
      <c r="C240" s="1">
        <f t="shared" si="23"/>
        <v>-0.84804809615642596</v>
      </c>
      <c r="D240" s="1">
        <f t="shared" si="18"/>
        <v>-0.39707817301289727</v>
      </c>
      <c r="E240" s="1">
        <f t="shared" si="19"/>
        <v>-1.9146763421767421</v>
      </c>
      <c r="F240" s="1">
        <f t="shared" si="20"/>
        <v>-0.22026753633165322</v>
      </c>
      <c r="G240" s="1">
        <f t="shared" si="21"/>
        <v>-1.2946878756113855</v>
      </c>
    </row>
    <row r="241" spans="1:7" x14ac:dyDescent="0.25">
      <c r="A241" s="1">
        <v>239</v>
      </c>
      <c r="B241" s="1">
        <f t="shared" si="22"/>
        <v>4.1713369122664474</v>
      </c>
      <c r="C241" s="1">
        <f t="shared" si="23"/>
        <v>-0.85716730070211211</v>
      </c>
      <c r="D241" s="1">
        <f t="shared" si="18"/>
        <v>-0.39906605998101569</v>
      </c>
      <c r="E241" s="1">
        <f t="shared" si="19"/>
        <v>-1.9242617598789993</v>
      </c>
      <c r="F241" s="1">
        <f t="shared" si="20"/>
        <v>-0.2203938357818748</v>
      </c>
      <c r="G241" s="1">
        <f t="shared" si="21"/>
        <v>-1.3011694536245522</v>
      </c>
    </row>
    <row r="242" spans="1:7" x14ac:dyDescent="0.25">
      <c r="A242" s="1">
        <v>240</v>
      </c>
      <c r="B242" s="1">
        <f t="shared" si="22"/>
        <v>4.1887902047863905</v>
      </c>
      <c r="C242" s="1">
        <f t="shared" si="23"/>
        <v>-0.86602540378443837</v>
      </c>
      <c r="D242" s="1">
        <f t="shared" si="18"/>
        <v>-0.4009755049184322</v>
      </c>
      <c r="E242" s="1">
        <f t="shared" si="19"/>
        <v>-1.9334689369459739</v>
      </c>
      <c r="F242" s="1">
        <f t="shared" si="20"/>
        <v>-0.22051410679459399</v>
      </c>
      <c r="G242" s="1">
        <f t="shared" si="21"/>
        <v>-1.3073952685336492</v>
      </c>
    </row>
    <row r="243" spans="1:7" x14ac:dyDescent="0.25">
      <c r="A243" s="1">
        <v>241</v>
      </c>
      <c r="B243" s="1">
        <f t="shared" si="22"/>
        <v>4.2062434973063336</v>
      </c>
      <c r="C243" s="1">
        <f t="shared" si="23"/>
        <v>-0.87461970713939552</v>
      </c>
      <c r="D243" s="1">
        <f t="shared" si="18"/>
        <v>-0.40280814370442758</v>
      </c>
      <c r="E243" s="1">
        <f t="shared" si="19"/>
        <v>-1.9423057614449797</v>
      </c>
      <c r="F243" s="1">
        <f t="shared" si="20"/>
        <v>-0.22062858942469626</v>
      </c>
      <c r="G243" s="1">
        <f t="shared" si="21"/>
        <v>-1.3133706541827777</v>
      </c>
    </row>
    <row r="244" spans="1:7" x14ac:dyDescent="0.25">
      <c r="A244" s="1">
        <v>242</v>
      </c>
      <c r="B244" s="1">
        <f t="shared" si="22"/>
        <v>4.2236967898262776</v>
      </c>
      <c r="C244" s="1">
        <f t="shared" si="23"/>
        <v>-0.88294759285892699</v>
      </c>
      <c r="D244" s="1">
        <f t="shared" si="18"/>
        <v>-0.40456553184978822</v>
      </c>
      <c r="E244" s="1">
        <f t="shared" si="19"/>
        <v>-1.9507797339134554</v>
      </c>
      <c r="F244" s="1">
        <f t="shared" si="20"/>
        <v>-0.22073750729411204</v>
      </c>
      <c r="G244" s="1">
        <f t="shared" si="21"/>
        <v>-1.3191006823716291</v>
      </c>
    </row>
    <row r="245" spans="1:7" x14ac:dyDescent="0.25">
      <c r="A245" s="1">
        <v>243</v>
      </c>
      <c r="B245" s="1">
        <f t="shared" si="22"/>
        <v>4.2411500823462207</v>
      </c>
      <c r="C245" s="1">
        <f t="shared" si="23"/>
        <v>-0.89100652418836779</v>
      </c>
      <c r="D245" s="1">
        <f t="shared" si="18"/>
        <v>-0.40624914762342262</v>
      </c>
      <c r="E245" s="1">
        <f t="shared" si="19"/>
        <v>-1.9588979824352362</v>
      </c>
      <c r="F245" s="1">
        <f t="shared" si="20"/>
        <v>-0.22084106877742143</v>
      </c>
      <c r="G245" s="1">
        <f t="shared" si="21"/>
        <v>-1.3245901730499339</v>
      </c>
    </row>
    <row r="246" spans="1:7" x14ac:dyDescent="0.25">
      <c r="A246" s="1">
        <v>244</v>
      </c>
      <c r="B246" s="1">
        <f t="shared" si="22"/>
        <v>4.2586033748661638</v>
      </c>
      <c r="C246" s="1">
        <f t="shared" si="23"/>
        <v>-0.89879404629916682</v>
      </c>
      <c r="D246" s="1">
        <f t="shared" si="18"/>
        <v>-0.40786039498789411</v>
      </c>
      <c r="E246" s="1">
        <f t="shared" si="19"/>
        <v>-1.9666672767954376</v>
      </c>
      <c r="F246" s="1">
        <f t="shared" si="20"/>
        <v>-0.22093946807764731</v>
      </c>
      <c r="G246" s="1">
        <f t="shared" si="21"/>
        <v>-1.3298437038888709</v>
      </c>
    </row>
    <row r="247" spans="1:7" x14ac:dyDescent="0.25">
      <c r="A247" s="1">
        <v>245</v>
      </c>
      <c r="B247" s="1">
        <f t="shared" si="22"/>
        <v>4.2760566673861078</v>
      </c>
      <c r="C247" s="1">
        <f t="shared" si="23"/>
        <v>-0.90630778703665005</v>
      </c>
      <c r="D247" s="1">
        <f t="shared" si="18"/>
        <v>-0.40940060635482883</v>
      </c>
      <c r="E247" s="1">
        <f t="shared" si="19"/>
        <v>-1.974094041766792</v>
      </c>
      <c r="F247" s="1">
        <f t="shared" si="20"/>
        <v>-0.22103288620338998</v>
      </c>
      <c r="G247" s="1">
        <f t="shared" si="21"/>
        <v>-1.3348656192651775</v>
      </c>
    </row>
    <row r="248" spans="1:7" x14ac:dyDescent="0.25">
      <c r="A248" s="1">
        <v>246</v>
      </c>
      <c r="B248" s="1">
        <f t="shared" si="22"/>
        <v>4.2935099599060509</v>
      </c>
      <c r="C248" s="1">
        <f t="shared" si="23"/>
        <v>-0.91354545764260098</v>
      </c>
      <c r="D248" s="1">
        <f t="shared" si="18"/>
        <v>-0.41087104517034062</v>
      </c>
      <c r="E248" s="1">
        <f t="shared" si="19"/>
        <v>-1.9811843695763425</v>
      </c>
      <c r="F248" s="1">
        <f t="shared" si="20"/>
        <v>-0.22112149185714752</v>
      </c>
      <c r="G248" s="1">
        <f t="shared" si="21"/>
        <v>-1.3396600386910211</v>
      </c>
    </row>
    <row r="249" spans="1:7" x14ac:dyDescent="0.25">
      <c r="A249" s="1">
        <v>247</v>
      </c>
      <c r="B249" s="1">
        <f t="shared" si="22"/>
        <v>4.310963252425994</v>
      </c>
      <c r="C249" s="1">
        <f t="shared" si="23"/>
        <v>-0.92050485345244026</v>
      </c>
      <c r="D249" s="1">
        <f t="shared" si="18"/>
        <v>-0.41227290833986346</v>
      </c>
      <c r="E249" s="1">
        <f t="shared" si="19"/>
        <v>-1.987944031597773</v>
      </c>
      <c r="F249" s="1">
        <f t="shared" si="20"/>
        <v>-0.22120544224352129</v>
      </c>
      <c r="G249" s="1">
        <f t="shared" si="21"/>
        <v>-1.3442308647202534</v>
      </c>
    </row>
    <row r="250" spans="1:7" x14ac:dyDescent="0.25">
      <c r="A250" s="1">
        <v>248</v>
      </c>
      <c r="B250" s="1">
        <f t="shared" si="22"/>
        <v>4.3284165449459371</v>
      </c>
      <c r="C250" s="1">
        <f t="shared" si="23"/>
        <v>-0.92718385456678731</v>
      </c>
      <c r="D250" s="1">
        <f t="shared" si="18"/>
        <v>-0.4136073285010734</v>
      </c>
      <c r="E250" s="1">
        <f t="shared" si="19"/>
        <v>-1.9943784893112402</v>
      </c>
      <c r="F250" s="1">
        <f t="shared" si="20"/>
        <v>-0.22128488380501043</v>
      </c>
      <c r="G250" s="1">
        <f t="shared" si="21"/>
        <v>-1.3485817903593562</v>
      </c>
    </row>
    <row r="251" spans="1:7" x14ac:dyDescent="0.25">
      <c r="A251" s="1">
        <v>249</v>
      </c>
      <c r="B251" s="1">
        <f t="shared" si="22"/>
        <v>4.3458698374658802</v>
      </c>
      <c r="C251" s="1">
        <f t="shared" si="23"/>
        <v>-0.93358042649720163</v>
      </c>
      <c r="D251" s="1">
        <f t="shared" si="18"/>
        <v>-0.41487537615293996</v>
      </c>
      <c r="E251" s="1">
        <f t="shared" si="19"/>
        <v>-2.0004929045694739</v>
      </c>
      <c r="F251" s="1">
        <f t="shared" si="20"/>
        <v>-0.22135995289222279</v>
      </c>
      <c r="G251" s="1">
        <f t="shared" si="21"/>
        <v>-1.3527163060092904</v>
      </c>
    </row>
    <row r="252" spans="1:7" x14ac:dyDescent="0.25">
      <c r="A252" s="1">
        <v>250</v>
      </c>
      <c r="B252" s="1">
        <f t="shared" si="22"/>
        <v>4.3633231299858233</v>
      </c>
      <c r="C252" s="1">
        <f t="shared" si="23"/>
        <v>-0.93969262078590821</v>
      </c>
      <c r="D252" s="1">
        <f t="shared" si="18"/>
        <v>-0.41607806164834221</v>
      </c>
      <c r="E252" s="1">
        <f t="shared" si="19"/>
        <v>-2.006292149205998</v>
      </c>
      <c r="F252" s="1">
        <f t="shared" si="20"/>
        <v>-0.22143077637456424</v>
      </c>
      <c r="G252" s="1">
        <f t="shared" si="21"/>
        <v>-1.3566377059624941</v>
      </c>
    </row>
    <row r="253" spans="1:7" x14ac:dyDescent="0.25">
      <c r="A253" s="1">
        <v>251</v>
      </c>
      <c r="B253" s="1">
        <f t="shared" si="22"/>
        <v>4.3807764225057673</v>
      </c>
      <c r="C253" s="1">
        <f t="shared" si="23"/>
        <v>-0.94551857559931685</v>
      </c>
      <c r="D253" s="1">
        <f t="shared" si="18"/>
        <v>-0.41721633705712252</v>
      </c>
      <c r="E253" s="1">
        <f t="shared" si="19"/>
        <v>-2.0117808140186129</v>
      </c>
      <c r="F253" s="1">
        <f t="shared" si="20"/>
        <v>-0.22149747219679242</v>
      </c>
      <c r="G253" s="1">
        <f t="shared" si="21"/>
        <v>-1.3603490944774366</v>
      </c>
    </row>
    <row r="254" spans="1:7" x14ac:dyDescent="0.25">
      <c r="A254" s="1">
        <v>252</v>
      </c>
      <c r="B254" s="1">
        <f t="shared" si="22"/>
        <v>4.3982297150257104</v>
      </c>
      <c r="C254" s="1">
        <f t="shared" si="23"/>
        <v>-0.95105651629515353</v>
      </c>
      <c r="D254" s="1">
        <f t="shared" si="18"/>
        <v>-0.41829109790593183</v>
      </c>
      <c r="E254" s="1">
        <f t="shared" si="19"/>
        <v>-2.0169632171587777</v>
      </c>
      <c r="F254" s="1">
        <f t="shared" si="20"/>
        <v>-0.22156014988622677</v>
      </c>
      <c r="G254" s="1">
        <f t="shared" si="21"/>
        <v>-1.3638533914514483</v>
      </c>
    </row>
    <row r="255" spans="1:7" x14ac:dyDescent="0.25">
      <c r="A255" s="1">
        <v>253</v>
      </c>
      <c r="B255" s="1">
        <f t="shared" si="22"/>
        <v>4.4156830075456535</v>
      </c>
      <c r="C255" s="1">
        <f t="shared" si="23"/>
        <v>-0.95630475596303532</v>
      </c>
      <c r="D255" s="1">
        <f t="shared" si="18"/>
        <v>-0.41930318480073347</v>
      </c>
      <c r="E255" s="1">
        <f t="shared" si="19"/>
        <v>-2.0218434119551834</v>
      </c>
      <c r="F255" s="1">
        <f t="shared" si="20"/>
        <v>-0.22161891101487952</v>
      </c>
      <c r="G255" s="1">
        <f t="shared" si="21"/>
        <v>-1.367153337710953</v>
      </c>
    </row>
    <row r="256" spans="1:7" x14ac:dyDescent="0.25">
      <c r="A256" s="1">
        <v>254</v>
      </c>
      <c r="B256" s="1">
        <f t="shared" si="22"/>
        <v>4.4331363000655974</v>
      </c>
      <c r="C256" s="1">
        <f t="shared" si="23"/>
        <v>-0.96126169593831901</v>
      </c>
      <c r="D256" s="1">
        <f t="shared" si="18"/>
        <v>-0.42025338493737652</v>
      </c>
      <c r="E256" s="1">
        <f t="shared" si="19"/>
        <v>-2.0264251941976048</v>
      </c>
      <c r="F256" s="1">
        <f t="shared" si="20"/>
        <v>-0.22167384962030806</v>
      </c>
      <c r="G256" s="1">
        <f t="shared" si="21"/>
        <v>-1.3702514999367474</v>
      </c>
    </row>
    <row r="257" spans="1:7" x14ac:dyDescent="0.25">
      <c r="A257" s="1">
        <v>255</v>
      </c>
      <c r="B257" s="1">
        <f t="shared" si="22"/>
        <v>4.4505895925855405</v>
      </c>
      <c r="C257" s="1">
        <f t="shared" si="23"/>
        <v>-0.96592582628906831</v>
      </c>
      <c r="D257" s="1">
        <f t="shared" si="18"/>
        <v>-0.42114243350522607</v>
      </c>
      <c r="E257" s="1">
        <f t="shared" si="19"/>
        <v>-2.030712108905083</v>
      </c>
      <c r="F257" s="1">
        <f t="shared" si="20"/>
        <v>-0.22172505258857389</v>
      </c>
      <c r="G257" s="1">
        <f t="shared" si="21"/>
        <v>-1.3731502752405895</v>
      </c>
    </row>
    <row r="258" spans="1:7" x14ac:dyDescent="0.25">
      <c r="A258" s="1">
        <v>256</v>
      </c>
      <c r="B258" s="1">
        <f t="shared" si="22"/>
        <v>4.4680428851054836</v>
      </c>
      <c r="C258" s="1">
        <f t="shared" si="23"/>
        <v>-0.97029572627599647</v>
      </c>
      <c r="D258" s="1">
        <f t="shared" si="18"/>
        <v>-0.42197101498844014</v>
      </c>
      <c r="E258" s="1">
        <f t="shared" si="19"/>
        <v>-2.0347074566005712</v>
      </c>
      <c r="F258" s="1">
        <f t="shared" si="20"/>
        <v>-0.22177260000232588</v>
      </c>
      <c r="G258" s="1">
        <f t="shared" si="21"/>
        <v>-1.3758518954080585</v>
      </c>
    </row>
    <row r="259" spans="1:7" x14ac:dyDescent="0.25">
      <c r="A259" s="1">
        <v>257</v>
      </c>
      <c r="B259" s="1">
        <f t="shared" si="22"/>
        <v>4.4854961776254267</v>
      </c>
      <c r="C259" s="1">
        <f t="shared" si="23"/>
        <v>-0.97437006478523513</v>
      </c>
      <c r="D259" s="1">
        <f t="shared" ref="D259:D322" si="24">C259/(1+Kv_acmin*ABS(C259))</f>
        <v>-0.42273976436910632</v>
      </c>
      <c r="E259" s="1">
        <f t="shared" ref="E259:E322" si="25">Ip_pk_min*D259</f>
        <v>-2.0384142991123522</v>
      </c>
      <c r="F259" s="1">
        <f t="shared" ref="F259:F322" si="26">E259/(1+Kv_acmax*ABS(E259))</f>
        <v>-0.22181656545669678</v>
      </c>
      <c r="G259" s="1">
        <f t="shared" ref="G259:G322" si="27">Ip_pk_max*D259</f>
        <v>-1.3783584308214263</v>
      </c>
    </row>
    <row r="260" spans="1:7" x14ac:dyDescent="0.25">
      <c r="A260" s="1">
        <v>258</v>
      </c>
      <c r="B260" s="1">
        <f t="shared" ref="B260:B323" si="28">A260/360*PI()*2</f>
        <v>4.5029494701453698</v>
      </c>
      <c r="C260" s="1">
        <f t="shared" ref="C260:C323" si="29">SIN(B260)</f>
        <v>-0.97814760073380558</v>
      </c>
      <c r="D260" s="1">
        <f t="shared" si="24"/>
        <v>-0.42344926823610174</v>
      </c>
      <c r="E260" s="1">
        <f t="shared" si="25"/>
        <v>-2.0418354649208665</v>
      </c>
      <c r="F260" s="1">
        <f t="shared" si="26"/>
        <v>-0.22185701634540689</v>
      </c>
      <c r="G260" s="1">
        <f t="shared" si="27"/>
        <v>-1.3806717940751365</v>
      </c>
    </row>
    <row r="261" spans="1:7" x14ac:dyDescent="0.25">
      <c r="A261" s="1">
        <v>259</v>
      </c>
      <c r="B261" s="1">
        <f t="shared" si="28"/>
        <v>4.5204027626653138</v>
      </c>
      <c r="C261" s="1">
        <f t="shared" si="29"/>
        <v>-0.98162718344766398</v>
      </c>
      <c r="D261" s="1">
        <f t="shared" si="24"/>
        <v>-0.42410006580320386</v>
      </c>
      <c r="E261" s="1">
        <f t="shared" si="25"/>
        <v>-2.0449735540679526</v>
      </c>
      <c r="F261" s="1">
        <f t="shared" si="26"/>
        <v>-0.22189401411920462</v>
      </c>
      <c r="G261" s="1">
        <f t="shared" si="27"/>
        <v>-1.3827937432953903</v>
      </c>
    </row>
    <row r="262" spans="1:7" x14ac:dyDescent="0.25">
      <c r="A262" s="1">
        <v>260</v>
      </c>
      <c r="B262" s="1">
        <f t="shared" si="28"/>
        <v>4.5378560551852569</v>
      </c>
      <c r="C262" s="1">
        <f t="shared" si="29"/>
        <v>-0.98480775301220802</v>
      </c>
      <c r="D262" s="1">
        <f t="shared" si="24"/>
        <v>-0.42469264983967203</v>
      </c>
      <c r="E262" s="1">
        <f t="shared" si="25"/>
        <v>-2.0478309426440311</v>
      </c>
      <c r="F262" s="1">
        <f t="shared" si="26"/>
        <v>-0.22192761451853632</v>
      </c>
      <c r="G262" s="1">
        <f t="shared" si="27"/>
        <v>-1.3847258851743427</v>
      </c>
    </row>
    <row r="263" spans="1:7" x14ac:dyDescent="0.25">
      <c r="A263" s="1">
        <v>261</v>
      </c>
      <c r="B263" s="1">
        <f t="shared" si="28"/>
        <v>4.5553093477052</v>
      </c>
      <c r="C263" s="1">
        <f t="shared" si="29"/>
        <v>-0.98768834059513766</v>
      </c>
      <c r="D263" s="1">
        <f t="shared" si="24"/>
        <v>-0.42522746751621321</v>
      </c>
      <c r="E263" s="1">
        <f t="shared" si="25"/>
        <v>-2.0504097868672773</v>
      </c>
      <c r="F263" s="1">
        <f t="shared" si="26"/>
        <v>-0.22195786778212012</v>
      </c>
      <c r="G263" s="1">
        <f t="shared" si="27"/>
        <v>-1.3864696777284049</v>
      </c>
    </row>
    <row r="264" spans="1:7" x14ac:dyDescent="0.25">
      <c r="A264" s="1">
        <v>262</v>
      </c>
      <c r="B264" s="1">
        <f t="shared" si="28"/>
        <v>4.5727626402251431</v>
      </c>
      <c r="C264" s="1">
        <f t="shared" si="29"/>
        <v>-0.99026806874157025</v>
      </c>
      <c r="D264" s="1">
        <f t="shared" si="24"/>
        <v>-0.42570492116896935</v>
      </c>
      <c r="E264" s="1">
        <f t="shared" si="25"/>
        <v>-2.0527120267675003</v>
      </c>
      <c r="F264" s="1">
        <f t="shared" si="26"/>
        <v>-0.22198481883290555</v>
      </c>
      <c r="G264" s="1">
        <f t="shared" si="27"/>
        <v>-1.388026432789252</v>
      </c>
    </row>
    <row r="265" spans="1:7" x14ac:dyDescent="0.25">
      <c r="A265" s="1">
        <v>263</v>
      </c>
      <c r="B265" s="1">
        <f t="shared" si="28"/>
        <v>4.5902159327450862</v>
      </c>
      <c r="C265" s="1">
        <f t="shared" si="29"/>
        <v>-0.99254615164132198</v>
      </c>
      <c r="D265" s="1">
        <f t="shared" si="24"/>
        <v>-0.42612536898388931</v>
      </c>
      <c r="E265" s="1">
        <f t="shared" si="25"/>
        <v>-2.0547393894861279</v>
      </c>
      <c r="F265" s="1">
        <f t="shared" si="26"/>
        <v>-0.22200850744271935</v>
      </c>
      <c r="G265" s="1">
        <f t="shared" si="27"/>
        <v>-1.3893973182352433</v>
      </c>
    </row>
    <row r="266" spans="1:7" x14ac:dyDescent="0.25">
      <c r="A266" s="1">
        <v>264</v>
      </c>
      <c r="B266" s="1">
        <f t="shared" si="28"/>
        <v>4.6076692252650293</v>
      </c>
      <c r="C266" s="1">
        <f t="shared" si="29"/>
        <v>-0.99452189536827329</v>
      </c>
      <c r="D266" s="1">
        <f t="shared" si="24"/>
        <v>-0.42648912560359253</v>
      </c>
      <c r="E266" s="1">
        <f t="shared" si="25"/>
        <v>-2.056493392202448</v>
      </c>
      <c r="F266" s="1">
        <f t="shared" si="26"/>
        <v>-0.22202896837673738</v>
      </c>
      <c r="G266" s="1">
        <f t="shared" si="27"/>
        <v>-1.3905833599701232</v>
      </c>
    </row>
    <row r="267" spans="1:7" x14ac:dyDescent="0.25">
      <c r="A267" s="1">
        <v>265</v>
      </c>
      <c r="B267" s="1">
        <f t="shared" si="28"/>
        <v>4.6251225177849733</v>
      </c>
      <c r="C267" s="1">
        <f t="shared" si="29"/>
        <v>-0.99619469809174555</v>
      </c>
      <c r="D267" s="1">
        <f t="shared" si="24"/>
        <v>-0.42679646265858096</v>
      </c>
      <c r="E267" s="1">
        <f t="shared" si="25"/>
        <v>-2.0579753446950657</v>
      </c>
      <c r="F267" s="1">
        <f t="shared" si="26"/>
        <v>-0.22204623151876812</v>
      </c>
      <c r="G267" s="1">
        <f t="shared" si="27"/>
        <v>-1.3915854436550572</v>
      </c>
    </row>
    <row r="268" spans="1:7" x14ac:dyDescent="0.25">
      <c r="A268" s="1">
        <v>266</v>
      </c>
      <c r="B268" s="1">
        <f t="shared" si="28"/>
        <v>4.6425758103049164</v>
      </c>
      <c r="C268" s="1">
        <f t="shared" si="29"/>
        <v>-0.9975640502598242</v>
      </c>
      <c r="D268" s="1">
        <f t="shared" si="24"/>
        <v>-0.42704760922441837</v>
      </c>
      <c r="E268" s="1">
        <f t="shared" si="25"/>
        <v>-2.0591863515463849</v>
      </c>
      <c r="F268" s="1">
        <f t="shared" si="26"/>
        <v>-0.22206032197819667</v>
      </c>
      <c r="G268" s="1">
        <f t="shared" si="27"/>
        <v>-1.3924043161992818</v>
      </c>
    </row>
    <row r="269" spans="1:7" x14ac:dyDescent="0.25">
      <c r="A269" s="1">
        <v>267</v>
      </c>
      <c r="B269" s="1">
        <f t="shared" si="28"/>
        <v>4.6600291028248604</v>
      </c>
      <c r="C269" s="1">
        <f t="shared" si="29"/>
        <v>-0.99862953475457394</v>
      </c>
      <c r="D269" s="1">
        <f t="shared" si="24"/>
        <v>-0.42724275220626595</v>
      </c>
      <c r="E269" s="1">
        <f t="shared" si="25"/>
        <v>-2.0601273139968019</v>
      </c>
      <c r="F269" s="1">
        <f t="shared" si="26"/>
        <v>-0.22207126017930603</v>
      </c>
      <c r="G269" s="1">
        <f t="shared" si="27"/>
        <v>-1.3930405870138967</v>
      </c>
    </row>
    <row r="270" spans="1:7" x14ac:dyDescent="0.25">
      <c r="A270" s="1">
        <v>268</v>
      </c>
      <c r="B270" s="1">
        <f t="shared" si="28"/>
        <v>4.6774823953448035</v>
      </c>
      <c r="C270" s="1">
        <f t="shared" si="29"/>
        <v>-0.99939082701909576</v>
      </c>
      <c r="D270" s="1">
        <f t="shared" si="24"/>
        <v>-0.42738203665193453</v>
      </c>
      <c r="E270" s="1">
        <f t="shared" si="25"/>
        <v>-2.0607989314542192</v>
      </c>
      <c r="F270" s="1">
        <f t="shared" si="26"/>
        <v>-0.22207906193356908</v>
      </c>
      <c r="G270" s="1">
        <f t="shared" si="27"/>
        <v>-1.393494729032583</v>
      </c>
    </row>
    <row r="271" spans="1:7" x14ac:dyDescent="0.25">
      <c r="A271" s="1">
        <v>269</v>
      </c>
      <c r="B271" s="1">
        <f t="shared" si="28"/>
        <v>4.6949356878647466</v>
      </c>
      <c r="C271" s="1">
        <f t="shared" si="29"/>
        <v>-0.99984769515639127</v>
      </c>
      <c r="D271" s="1">
        <f t="shared" si="24"/>
        <v>-0.42746556599439989</v>
      </c>
      <c r="E271" s="1">
        <f t="shared" si="25"/>
        <v>-2.0612017026634311</v>
      </c>
      <c r="F271" s="1">
        <f t="shared" si="26"/>
        <v>-0.22208373849538973</v>
      </c>
      <c r="G271" s="1">
        <f t="shared" si="27"/>
        <v>-1.3937670795023334</v>
      </c>
    </row>
    <row r="272" spans="1:7" x14ac:dyDescent="0.25">
      <c r="A272" s="1">
        <v>270</v>
      </c>
      <c r="B272" s="1">
        <f t="shared" si="28"/>
        <v>4.7123889803846897</v>
      </c>
      <c r="C272" s="1">
        <f t="shared" si="29"/>
        <v>-1</v>
      </c>
      <c r="D272" s="1">
        <f t="shared" si="24"/>
        <v>-0.42749340222450954</v>
      </c>
      <c r="E272" s="1">
        <f t="shared" si="25"/>
        <v>-2.0613359265389009</v>
      </c>
      <c r="F272" s="1">
        <f t="shared" si="26"/>
        <v>-0.22208529660165974</v>
      </c>
      <c r="G272" s="1">
        <f t="shared" si="27"/>
        <v>-1.3938578405465687</v>
      </c>
    </row>
    <row r="273" spans="1:7" x14ac:dyDescent="0.25">
      <c r="A273" s="1">
        <v>271</v>
      </c>
      <c r="B273" s="1">
        <f t="shared" si="28"/>
        <v>4.7298422729046328</v>
      </c>
      <c r="C273" s="1">
        <f t="shared" si="29"/>
        <v>-0.99984769515639127</v>
      </c>
      <c r="D273" s="1">
        <f t="shared" si="24"/>
        <v>-0.42746556599439989</v>
      </c>
      <c r="E273" s="1">
        <f t="shared" si="25"/>
        <v>-2.0612017026634311</v>
      </c>
      <c r="F273" s="1">
        <f t="shared" si="26"/>
        <v>-0.22208373849538973</v>
      </c>
      <c r="G273" s="1">
        <f t="shared" si="27"/>
        <v>-1.3937670795023334</v>
      </c>
    </row>
    <row r="274" spans="1:7" x14ac:dyDescent="0.25">
      <c r="A274" s="1">
        <v>272</v>
      </c>
      <c r="B274" s="1">
        <f t="shared" si="28"/>
        <v>4.7472955654245759</v>
      </c>
      <c r="C274" s="1">
        <f t="shared" si="29"/>
        <v>-0.99939082701909576</v>
      </c>
      <c r="D274" s="1">
        <f t="shared" si="24"/>
        <v>-0.42738203665193453</v>
      </c>
      <c r="E274" s="1">
        <f t="shared" si="25"/>
        <v>-2.0607989314542192</v>
      </c>
      <c r="F274" s="1">
        <f t="shared" si="26"/>
        <v>-0.22207906193356908</v>
      </c>
      <c r="G274" s="1">
        <f t="shared" si="27"/>
        <v>-1.393494729032583</v>
      </c>
    </row>
    <row r="275" spans="1:7" x14ac:dyDescent="0.25">
      <c r="A275" s="1">
        <v>273</v>
      </c>
      <c r="B275" s="1">
        <f t="shared" si="28"/>
        <v>4.764748857944519</v>
      </c>
      <c r="C275" s="1">
        <f t="shared" si="29"/>
        <v>-0.99862953475457394</v>
      </c>
      <c r="D275" s="1">
        <f t="shared" si="24"/>
        <v>-0.42724275220626595</v>
      </c>
      <c r="E275" s="1">
        <f t="shared" si="25"/>
        <v>-2.0601273139968019</v>
      </c>
      <c r="F275" s="1">
        <f t="shared" si="26"/>
        <v>-0.22207126017930603</v>
      </c>
      <c r="G275" s="1">
        <f t="shared" si="27"/>
        <v>-1.3930405870138967</v>
      </c>
    </row>
    <row r="276" spans="1:7" x14ac:dyDescent="0.25">
      <c r="A276" s="1">
        <v>274</v>
      </c>
      <c r="B276" s="1">
        <f t="shared" si="28"/>
        <v>4.782202150464463</v>
      </c>
      <c r="C276" s="1">
        <f t="shared" si="29"/>
        <v>-0.99756405025982431</v>
      </c>
      <c r="D276" s="1">
        <f t="shared" si="24"/>
        <v>-0.42704760922441831</v>
      </c>
      <c r="E276" s="1">
        <f t="shared" si="25"/>
        <v>-2.0591863515463844</v>
      </c>
      <c r="F276" s="1">
        <f t="shared" si="26"/>
        <v>-0.22206032197819667</v>
      </c>
      <c r="G276" s="1">
        <f t="shared" si="27"/>
        <v>-1.3924043161992816</v>
      </c>
    </row>
    <row r="277" spans="1:7" x14ac:dyDescent="0.25">
      <c r="A277" s="1">
        <v>275</v>
      </c>
      <c r="B277" s="1">
        <f t="shared" si="28"/>
        <v>4.7996554429844061</v>
      </c>
      <c r="C277" s="1">
        <f t="shared" si="29"/>
        <v>-0.99619469809174555</v>
      </c>
      <c r="D277" s="1">
        <f t="shared" si="24"/>
        <v>-0.42679646265858096</v>
      </c>
      <c r="E277" s="1">
        <f t="shared" si="25"/>
        <v>-2.0579753446950657</v>
      </c>
      <c r="F277" s="1">
        <f t="shared" si="26"/>
        <v>-0.22204623151876812</v>
      </c>
      <c r="G277" s="1">
        <f t="shared" si="27"/>
        <v>-1.3915854436550572</v>
      </c>
    </row>
    <row r="278" spans="1:7" x14ac:dyDescent="0.25">
      <c r="A278" s="1">
        <v>276</v>
      </c>
      <c r="B278" s="1">
        <f t="shared" si="28"/>
        <v>4.81710873550435</v>
      </c>
      <c r="C278" s="1">
        <f t="shared" si="29"/>
        <v>-0.99452189536827329</v>
      </c>
      <c r="D278" s="1">
        <f t="shared" si="24"/>
        <v>-0.42648912560359253</v>
      </c>
      <c r="E278" s="1">
        <f t="shared" si="25"/>
        <v>-2.056493392202448</v>
      </c>
      <c r="F278" s="1">
        <f t="shared" si="26"/>
        <v>-0.22202896837673738</v>
      </c>
      <c r="G278" s="1">
        <f t="shared" si="27"/>
        <v>-1.3905833599701232</v>
      </c>
    </row>
    <row r="279" spans="1:7" x14ac:dyDescent="0.25">
      <c r="A279" s="1">
        <v>277</v>
      </c>
      <c r="B279" s="1">
        <f t="shared" si="28"/>
        <v>4.8345620280242931</v>
      </c>
      <c r="C279" s="1">
        <f t="shared" si="29"/>
        <v>-0.99254615164132198</v>
      </c>
      <c r="D279" s="1">
        <f t="shared" si="24"/>
        <v>-0.42612536898388931</v>
      </c>
      <c r="E279" s="1">
        <f t="shared" si="25"/>
        <v>-2.0547393894861279</v>
      </c>
      <c r="F279" s="1">
        <f t="shared" si="26"/>
        <v>-0.22200850744271935</v>
      </c>
      <c r="G279" s="1">
        <f t="shared" si="27"/>
        <v>-1.3893973182352433</v>
      </c>
    </row>
    <row r="280" spans="1:7" x14ac:dyDescent="0.25">
      <c r="A280" s="1">
        <v>278</v>
      </c>
      <c r="B280" s="1">
        <f t="shared" si="28"/>
        <v>4.8520153205442362</v>
      </c>
      <c r="C280" s="1">
        <f t="shared" si="29"/>
        <v>-0.99026806874157036</v>
      </c>
      <c r="D280" s="1">
        <f t="shared" si="24"/>
        <v>-0.42570492116896941</v>
      </c>
      <c r="E280" s="1">
        <f t="shared" si="25"/>
        <v>-2.0527120267675008</v>
      </c>
      <c r="F280" s="1">
        <f t="shared" si="26"/>
        <v>-0.22198481883290555</v>
      </c>
      <c r="G280" s="1">
        <f t="shared" si="27"/>
        <v>-1.3880264327892522</v>
      </c>
    </row>
    <row r="281" spans="1:7" x14ac:dyDescent="0.25">
      <c r="A281" s="1">
        <v>279</v>
      </c>
      <c r="B281" s="1">
        <f t="shared" si="28"/>
        <v>4.8694686130641793</v>
      </c>
      <c r="C281" s="1">
        <f t="shared" si="29"/>
        <v>-0.98768834059513777</v>
      </c>
      <c r="D281" s="1">
        <f t="shared" si="24"/>
        <v>-0.42522746751621326</v>
      </c>
      <c r="E281" s="1">
        <f t="shared" si="25"/>
        <v>-2.0504097868672773</v>
      </c>
      <c r="F281" s="1">
        <f t="shared" si="26"/>
        <v>-0.22195786778212012</v>
      </c>
      <c r="G281" s="1">
        <f t="shared" si="27"/>
        <v>-1.3864696777284051</v>
      </c>
    </row>
    <row r="282" spans="1:7" x14ac:dyDescent="0.25">
      <c r="A282" s="1">
        <v>280</v>
      </c>
      <c r="B282" s="1">
        <f t="shared" si="28"/>
        <v>4.8869219055841224</v>
      </c>
      <c r="C282" s="1">
        <f t="shared" si="29"/>
        <v>-0.98480775301220813</v>
      </c>
      <c r="D282" s="1">
        <f t="shared" si="24"/>
        <v>-0.42469264983967209</v>
      </c>
      <c r="E282" s="1">
        <f t="shared" si="25"/>
        <v>-2.0478309426440315</v>
      </c>
      <c r="F282" s="1">
        <f t="shared" si="26"/>
        <v>-0.22192761451853632</v>
      </c>
      <c r="G282" s="1">
        <f t="shared" si="27"/>
        <v>-1.3847258851743429</v>
      </c>
    </row>
    <row r="283" spans="1:7" x14ac:dyDescent="0.25">
      <c r="A283" s="1">
        <v>281</v>
      </c>
      <c r="B283" s="1">
        <f t="shared" si="28"/>
        <v>4.9043751981040655</v>
      </c>
      <c r="C283" s="1">
        <f t="shared" si="29"/>
        <v>-0.98162718344766409</v>
      </c>
      <c r="D283" s="1">
        <f t="shared" si="24"/>
        <v>-0.42410006580320392</v>
      </c>
      <c r="E283" s="1">
        <f t="shared" si="25"/>
        <v>-2.044973554067953</v>
      </c>
      <c r="F283" s="1">
        <f t="shared" si="26"/>
        <v>-0.22189401411920462</v>
      </c>
      <c r="G283" s="1">
        <f t="shared" si="27"/>
        <v>-1.3827937432953903</v>
      </c>
    </row>
    <row r="284" spans="1:7" x14ac:dyDescent="0.25">
      <c r="A284" s="1">
        <v>282</v>
      </c>
      <c r="B284" s="1">
        <f t="shared" si="28"/>
        <v>4.9218284906240095</v>
      </c>
      <c r="C284" s="1">
        <f t="shared" si="29"/>
        <v>-0.97814760073380558</v>
      </c>
      <c r="D284" s="1">
        <f t="shared" si="24"/>
        <v>-0.42344926823610174</v>
      </c>
      <c r="E284" s="1">
        <f t="shared" si="25"/>
        <v>-2.0418354649208665</v>
      </c>
      <c r="F284" s="1">
        <f t="shared" si="26"/>
        <v>-0.22185701634540689</v>
      </c>
      <c r="G284" s="1">
        <f t="shared" si="27"/>
        <v>-1.3806717940751365</v>
      </c>
    </row>
    <row r="285" spans="1:7" x14ac:dyDescent="0.25">
      <c r="A285" s="1">
        <v>283</v>
      </c>
      <c r="B285" s="1">
        <f t="shared" si="28"/>
        <v>4.9392817831439526</v>
      </c>
      <c r="C285" s="1">
        <f t="shared" si="29"/>
        <v>-0.97437006478523525</v>
      </c>
      <c r="D285" s="1">
        <f t="shared" si="24"/>
        <v>-0.42273976436910637</v>
      </c>
      <c r="E285" s="1">
        <f t="shared" si="25"/>
        <v>-2.0384142991123526</v>
      </c>
      <c r="F285" s="1">
        <f t="shared" si="26"/>
        <v>-0.22181656545669678</v>
      </c>
      <c r="G285" s="1">
        <f t="shared" si="27"/>
        <v>-1.3783584308214265</v>
      </c>
    </row>
    <row r="286" spans="1:7" x14ac:dyDescent="0.25">
      <c r="A286" s="1">
        <v>284</v>
      </c>
      <c r="B286" s="1">
        <f t="shared" si="28"/>
        <v>4.9567350756638957</v>
      </c>
      <c r="C286" s="1">
        <f t="shared" si="29"/>
        <v>-0.97029572627599658</v>
      </c>
      <c r="D286" s="1">
        <f t="shared" si="24"/>
        <v>-0.42197101498844009</v>
      </c>
      <c r="E286" s="1">
        <f t="shared" si="25"/>
        <v>-2.0347074566005707</v>
      </c>
      <c r="F286" s="1">
        <f t="shared" si="26"/>
        <v>-0.22177260000232588</v>
      </c>
      <c r="G286" s="1">
        <f t="shared" si="27"/>
        <v>-1.3758518954080583</v>
      </c>
    </row>
    <row r="287" spans="1:7" x14ac:dyDescent="0.25">
      <c r="A287" s="1">
        <v>285</v>
      </c>
      <c r="B287" s="1">
        <f t="shared" si="28"/>
        <v>4.9741883681838388</v>
      </c>
      <c r="C287" s="1">
        <f t="shared" si="29"/>
        <v>-0.96592582628906842</v>
      </c>
      <c r="D287" s="1">
        <f t="shared" si="24"/>
        <v>-0.42114243350522607</v>
      </c>
      <c r="E287" s="1">
        <f t="shared" si="25"/>
        <v>-2.030712108905083</v>
      </c>
      <c r="F287" s="1">
        <f t="shared" si="26"/>
        <v>-0.22172505258857389</v>
      </c>
      <c r="G287" s="1">
        <f t="shared" si="27"/>
        <v>-1.3731502752405895</v>
      </c>
    </row>
    <row r="288" spans="1:7" x14ac:dyDescent="0.25">
      <c r="A288" s="1">
        <v>286</v>
      </c>
      <c r="B288" s="1">
        <f t="shared" si="28"/>
        <v>4.9916416607037819</v>
      </c>
      <c r="C288" s="1">
        <f t="shared" si="29"/>
        <v>-0.96126169593831901</v>
      </c>
      <c r="D288" s="1">
        <f t="shared" si="24"/>
        <v>-0.42025338493737652</v>
      </c>
      <c r="E288" s="1">
        <f t="shared" si="25"/>
        <v>-2.0264251941976048</v>
      </c>
      <c r="F288" s="1">
        <f t="shared" si="26"/>
        <v>-0.22167384962030806</v>
      </c>
      <c r="G288" s="1">
        <f t="shared" si="27"/>
        <v>-1.3702514999367474</v>
      </c>
    </row>
    <row r="289" spans="1:7" x14ac:dyDescent="0.25">
      <c r="A289" s="1">
        <v>287</v>
      </c>
      <c r="B289" s="1">
        <f t="shared" si="28"/>
        <v>5.0090949532237259</v>
      </c>
      <c r="C289" s="1">
        <f t="shared" si="29"/>
        <v>-0.95630475596303544</v>
      </c>
      <c r="D289" s="1">
        <f t="shared" si="24"/>
        <v>-0.41930318480073353</v>
      </c>
      <c r="E289" s="1">
        <f t="shared" si="25"/>
        <v>-2.0218434119551838</v>
      </c>
      <c r="F289" s="1">
        <f t="shared" si="26"/>
        <v>-0.22161891101487952</v>
      </c>
      <c r="G289" s="1">
        <f t="shared" si="27"/>
        <v>-1.3671533377109533</v>
      </c>
    </row>
    <row r="290" spans="1:7" x14ac:dyDescent="0.25">
      <c r="A290" s="1">
        <v>288</v>
      </c>
      <c r="B290" s="1">
        <f t="shared" si="28"/>
        <v>5.026548245743669</v>
      </c>
      <c r="C290" s="1">
        <f t="shared" si="29"/>
        <v>-0.95105651629515364</v>
      </c>
      <c r="D290" s="1">
        <f t="shared" si="24"/>
        <v>-0.41829109790593177</v>
      </c>
      <c r="E290" s="1">
        <f t="shared" si="25"/>
        <v>-2.0169632171587772</v>
      </c>
      <c r="F290" s="1">
        <f t="shared" si="26"/>
        <v>-0.22156014988622674</v>
      </c>
      <c r="G290" s="1">
        <f t="shared" si="27"/>
        <v>-1.3638533914514481</v>
      </c>
    </row>
    <row r="291" spans="1:7" x14ac:dyDescent="0.25">
      <c r="A291" s="1">
        <v>289</v>
      </c>
      <c r="B291" s="1">
        <f t="shared" si="28"/>
        <v>5.0440015382636121</v>
      </c>
      <c r="C291" s="1">
        <f t="shared" si="29"/>
        <v>-0.94551857559931696</v>
      </c>
      <c r="D291" s="1">
        <f t="shared" si="24"/>
        <v>-0.41721633705712252</v>
      </c>
      <c r="E291" s="1">
        <f t="shared" si="25"/>
        <v>-2.0117808140186129</v>
      </c>
      <c r="F291" s="1">
        <f t="shared" si="26"/>
        <v>-0.22149747219679242</v>
      </c>
      <c r="G291" s="1">
        <f t="shared" si="27"/>
        <v>-1.3603490944774366</v>
      </c>
    </row>
    <row r="292" spans="1:7" x14ac:dyDescent="0.25">
      <c r="A292" s="1">
        <v>290</v>
      </c>
      <c r="B292" s="1">
        <f t="shared" si="28"/>
        <v>5.0614548307835561</v>
      </c>
      <c r="C292" s="1">
        <f t="shared" si="29"/>
        <v>-0.93969262078590832</v>
      </c>
      <c r="D292" s="1">
        <f t="shared" si="24"/>
        <v>-0.41607806164834227</v>
      </c>
      <c r="E292" s="1">
        <f t="shared" si="25"/>
        <v>-2.0062921492059984</v>
      </c>
      <c r="F292" s="1">
        <f t="shared" si="26"/>
        <v>-0.22143077637456424</v>
      </c>
      <c r="G292" s="1">
        <f t="shared" si="27"/>
        <v>-1.3566377059624941</v>
      </c>
    </row>
    <row r="293" spans="1:7" x14ac:dyDescent="0.25">
      <c r="A293" s="1">
        <v>291</v>
      </c>
      <c r="B293" s="1">
        <f t="shared" si="28"/>
        <v>5.0789081233034992</v>
      </c>
      <c r="C293" s="1">
        <f t="shared" si="29"/>
        <v>-0.93358042649720174</v>
      </c>
      <c r="D293" s="1">
        <f t="shared" si="24"/>
        <v>-0.41487537615294001</v>
      </c>
      <c r="E293" s="1">
        <f t="shared" si="25"/>
        <v>-2.0004929045694744</v>
      </c>
      <c r="F293" s="1">
        <f t="shared" si="26"/>
        <v>-0.22135995289222279</v>
      </c>
      <c r="G293" s="1">
        <f t="shared" si="27"/>
        <v>-1.3527163060092906</v>
      </c>
    </row>
    <row r="294" spans="1:7" x14ac:dyDescent="0.25">
      <c r="A294" s="1">
        <v>292</v>
      </c>
      <c r="B294" s="1">
        <f t="shared" si="28"/>
        <v>5.0963614158234423</v>
      </c>
      <c r="C294" s="1">
        <f t="shared" si="29"/>
        <v>-0.92718385456678742</v>
      </c>
      <c r="D294" s="1">
        <f t="shared" si="24"/>
        <v>-0.41360732850107346</v>
      </c>
      <c r="E294" s="1">
        <f t="shared" si="25"/>
        <v>-1.9943784893112406</v>
      </c>
      <c r="F294" s="1">
        <f t="shared" si="26"/>
        <v>-0.22128488380501043</v>
      </c>
      <c r="G294" s="1">
        <f t="shared" si="27"/>
        <v>-1.3485817903593562</v>
      </c>
    </row>
    <row r="295" spans="1:7" x14ac:dyDescent="0.25">
      <c r="A295" s="1">
        <v>293</v>
      </c>
      <c r="B295" s="1">
        <f t="shared" si="28"/>
        <v>5.1138147083433854</v>
      </c>
      <c r="C295" s="1">
        <f t="shared" si="29"/>
        <v>-0.92050485345244049</v>
      </c>
      <c r="D295" s="1">
        <f t="shared" si="24"/>
        <v>-0.41227290833986341</v>
      </c>
      <c r="E295" s="1">
        <f t="shared" si="25"/>
        <v>-1.9879440315977728</v>
      </c>
      <c r="F295" s="1">
        <f t="shared" si="26"/>
        <v>-0.22120544224352126</v>
      </c>
      <c r="G295" s="1">
        <f t="shared" si="27"/>
        <v>-1.3442308647202532</v>
      </c>
    </row>
    <row r="296" spans="1:7" x14ac:dyDescent="0.25">
      <c r="A296" s="1">
        <v>294</v>
      </c>
      <c r="B296" s="1">
        <f t="shared" si="28"/>
        <v>5.1312680008633285</v>
      </c>
      <c r="C296" s="1">
        <f t="shared" si="29"/>
        <v>-0.91354545764260109</v>
      </c>
      <c r="D296" s="1">
        <f t="shared" si="24"/>
        <v>-0.41087104517034062</v>
      </c>
      <c r="E296" s="1">
        <f t="shared" si="25"/>
        <v>-1.9811843695763425</v>
      </c>
      <c r="F296" s="1">
        <f t="shared" si="26"/>
        <v>-0.22112149185714752</v>
      </c>
      <c r="G296" s="1">
        <f t="shared" si="27"/>
        <v>-1.3396600386910211</v>
      </c>
    </row>
    <row r="297" spans="1:7" x14ac:dyDescent="0.25">
      <c r="A297" s="1">
        <v>295</v>
      </c>
      <c r="B297" s="1">
        <f t="shared" si="28"/>
        <v>5.1487212933832716</v>
      </c>
      <c r="C297" s="1">
        <f t="shared" si="29"/>
        <v>-0.90630778703665027</v>
      </c>
      <c r="D297" s="1">
        <f t="shared" si="24"/>
        <v>-0.40940060635482878</v>
      </c>
      <c r="E297" s="1">
        <f t="shared" si="25"/>
        <v>-1.9740940417667918</v>
      </c>
      <c r="F297" s="1">
        <f t="shared" si="26"/>
        <v>-0.22103288620339001</v>
      </c>
      <c r="G297" s="1">
        <f t="shared" si="27"/>
        <v>-1.3348656192651773</v>
      </c>
    </row>
    <row r="298" spans="1:7" x14ac:dyDescent="0.25">
      <c r="A298" s="1">
        <v>296</v>
      </c>
      <c r="B298" s="1">
        <f t="shared" si="28"/>
        <v>5.1661745859032155</v>
      </c>
      <c r="C298" s="1">
        <f t="shared" si="29"/>
        <v>-0.89879404629916704</v>
      </c>
      <c r="D298" s="1">
        <f t="shared" si="24"/>
        <v>-0.40786039498789423</v>
      </c>
      <c r="E298" s="1">
        <f t="shared" si="25"/>
        <v>-1.9666672767954381</v>
      </c>
      <c r="F298" s="1">
        <f t="shared" si="26"/>
        <v>-0.22093946807764733</v>
      </c>
      <c r="G298" s="1">
        <f t="shared" si="27"/>
        <v>-1.3298437038888713</v>
      </c>
    </row>
    <row r="299" spans="1:7" x14ac:dyDescent="0.25">
      <c r="A299" s="1">
        <v>297</v>
      </c>
      <c r="B299" s="1">
        <f t="shared" si="28"/>
        <v>5.1836278784231586</v>
      </c>
      <c r="C299" s="1">
        <f t="shared" si="29"/>
        <v>-0.8910065241883679</v>
      </c>
      <c r="D299" s="1">
        <f t="shared" si="24"/>
        <v>-0.40624914762342262</v>
      </c>
      <c r="E299" s="1">
        <f t="shared" si="25"/>
        <v>-1.9588979824352362</v>
      </c>
      <c r="F299" s="1">
        <f t="shared" si="26"/>
        <v>-0.22084106877742143</v>
      </c>
      <c r="G299" s="1">
        <f t="shared" si="27"/>
        <v>-1.3245901730499339</v>
      </c>
    </row>
    <row r="300" spans="1:7" x14ac:dyDescent="0.25">
      <c r="A300" s="1">
        <v>298</v>
      </c>
      <c r="B300" s="1">
        <f t="shared" si="28"/>
        <v>5.2010811709431017</v>
      </c>
      <c r="C300" s="1">
        <f t="shared" si="29"/>
        <v>-0.8829475928589271</v>
      </c>
      <c r="D300" s="1">
        <f t="shared" si="24"/>
        <v>-0.40456553184978827</v>
      </c>
      <c r="E300" s="1">
        <f t="shared" si="25"/>
        <v>-1.9507797339134556</v>
      </c>
      <c r="F300" s="1">
        <f t="shared" si="26"/>
        <v>-0.22073750729411204</v>
      </c>
      <c r="G300" s="1">
        <f t="shared" si="27"/>
        <v>-1.3191006823716294</v>
      </c>
    </row>
    <row r="301" spans="1:7" x14ac:dyDescent="0.25">
      <c r="A301" s="1">
        <v>299</v>
      </c>
      <c r="B301" s="1">
        <f t="shared" si="28"/>
        <v>5.2185344634630457</v>
      </c>
      <c r="C301" s="1">
        <f t="shared" si="29"/>
        <v>-0.87461970713939563</v>
      </c>
      <c r="D301" s="1">
        <f t="shared" si="24"/>
        <v>-0.40280814370442763</v>
      </c>
      <c r="E301" s="1">
        <f t="shared" si="25"/>
        <v>-1.9423057614449799</v>
      </c>
      <c r="F301" s="1">
        <f t="shared" si="26"/>
        <v>-0.22062858942469624</v>
      </c>
      <c r="G301" s="1">
        <f t="shared" si="27"/>
        <v>-1.3133706541827777</v>
      </c>
    </row>
    <row r="302" spans="1:7" x14ac:dyDescent="0.25">
      <c r="A302" s="1">
        <v>300</v>
      </c>
      <c r="B302" s="1">
        <f t="shared" si="28"/>
        <v>5.2359877559829888</v>
      </c>
      <c r="C302" s="1">
        <f t="shared" si="29"/>
        <v>-0.8660254037844386</v>
      </c>
      <c r="D302" s="1">
        <f t="shared" si="24"/>
        <v>-0.4009755049184322</v>
      </c>
      <c r="E302" s="1">
        <f t="shared" si="25"/>
        <v>-1.9334689369459739</v>
      </c>
      <c r="F302" s="1">
        <f t="shared" si="26"/>
        <v>-0.22051410679459399</v>
      </c>
      <c r="G302" s="1">
        <f t="shared" si="27"/>
        <v>-1.3073952685336492</v>
      </c>
    </row>
    <row r="303" spans="1:7" x14ac:dyDescent="0.25">
      <c r="A303" s="1">
        <v>301</v>
      </c>
      <c r="B303" s="1">
        <f t="shared" si="28"/>
        <v>5.2534410485029319</v>
      </c>
      <c r="C303" s="1">
        <f t="shared" si="29"/>
        <v>-0.85716730070211233</v>
      </c>
      <c r="D303" s="1">
        <f t="shared" si="24"/>
        <v>-0.39906605998101569</v>
      </c>
      <c r="E303" s="1">
        <f t="shared" si="25"/>
        <v>-1.9242617598789993</v>
      </c>
      <c r="F303" s="1">
        <f t="shared" si="26"/>
        <v>-0.2203938357818748</v>
      </c>
      <c r="G303" s="1">
        <f t="shared" si="27"/>
        <v>-1.3011694536245522</v>
      </c>
    </row>
    <row r="304" spans="1:7" x14ac:dyDescent="0.25">
      <c r="A304" s="1">
        <v>302</v>
      </c>
      <c r="B304" s="1">
        <f t="shared" si="28"/>
        <v>5.270894341022875</v>
      </c>
      <c r="C304" s="1">
        <f t="shared" si="29"/>
        <v>-0.84804809615642618</v>
      </c>
      <c r="D304" s="1">
        <f t="shared" si="24"/>
        <v>-0.39707817301289722</v>
      </c>
      <c r="E304" s="1">
        <f t="shared" si="25"/>
        <v>-1.9146763421767417</v>
      </c>
      <c r="F304" s="1">
        <f t="shared" si="26"/>
        <v>-0.22026753633165322</v>
      </c>
      <c r="G304" s="1">
        <f t="shared" si="27"/>
        <v>-1.2946878756113853</v>
      </c>
    </row>
    <row r="305" spans="1:7" x14ac:dyDescent="0.25">
      <c r="A305" s="1">
        <v>303</v>
      </c>
      <c r="B305" s="1">
        <f t="shared" si="28"/>
        <v>5.2883476335428181</v>
      </c>
      <c r="C305" s="1">
        <f t="shared" si="29"/>
        <v>-0.83867056794542427</v>
      </c>
      <c r="D305" s="1">
        <f t="shared" si="24"/>
        <v>-0.39501012443675565</v>
      </c>
      <c r="E305" s="1">
        <f t="shared" si="25"/>
        <v>-1.904704392187232</v>
      </c>
      <c r="F305" s="1">
        <f t="shared" si="26"/>
        <v>-0.22013495064801303</v>
      </c>
      <c r="G305" s="1">
        <f t="shared" si="27"/>
        <v>-1.2879449277495321</v>
      </c>
    </row>
    <row r="306" spans="1:7" x14ac:dyDescent="0.25">
      <c r="A306" s="1">
        <v>304</v>
      </c>
      <c r="B306" s="1">
        <f t="shared" si="28"/>
        <v>5.3058009260627621</v>
      </c>
      <c r="C306" s="1">
        <f t="shared" si="29"/>
        <v>-0.82903757255504162</v>
      </c>
      <c r="D306" s="1">
        <f t="shared" si="24"/>
        <v>-0.39286010743195049</v>
      </c>
      <c r="E306" s="1">
        <f t="shared" si="25"/>
        <v>-1.8943371975788179</v>
      </c>
      <c r="F306" s="1">
        <f t="shared" si="26"/>
        <v>-0.21999580174906261</v>
      </c>
      <c r="G306" s="1">
        <f t="shared" si="27"/>
        <v>-1.2809347188343492</v>
      </c>
    </row>
    <row r="307" spans="1:7" x14ac:dyDescent="0.25">
      <c r="A307" s="1">
        <v>305</v>
      </c>
      <c r="B307" s="1">
        <f t="shared" si="28"/>
        <v>5.3232542185827052</v>
      </c>
      <c r="C307" s="1">
        <f t="shared" si="29"/>
        <v>-0.8191520442889918</v>
      </c>
      <c r="D307" s="1">
        <f t="shared" si="24"/>
        <v>-0.39062622415966802</v>
      </c>
      <c r="E307" s="1">
        <f t="shared" si="25"/>
        <v>-1.8835656071381501</v>
      </c>
      <c r="F307" s="1">
        <f t="shared" si="26"/>
        <v>-0.2198497918687195</v>
      </c>
      <c r="G307" s="1">
        <f t="shared" si="27"/>
        <v>-1.2736510608931175</v>
      </c>
    </row>
    <row r="308" spans="1:7" x14ac:dyDescent="0.25">
      <c r="A308" s="1">
        <v>306</v>
      </c>
      <c r="B308" s="1">
        <f t="shared" si="28"/>
        <v>5.3407075111026483</v>
      </c>
      <c r="C308" s="1">
        <f t="shared" si="29"/>
        <v>-0.80901699437494756</v>
      </c>
      <c r="D308" s="1">
        <f t="shared" si="24"/>
        <v>-0.38830648174351645</v>
      </c>
      <c r="E308" s="1">
        <f t="shared" si="25"/>
        <v>-1.8723800113889597</v>
      </c>
      <c r="F308" s="1">
        <f t="shared" si="26"/>
        <v>-0.21969660068649874</v>
      </c>
      <c r="G308" s="1">
        <f t="shared" si="27"/>
        <v>-1.2660874560796256</v>
      </c>
    </row>
    <row r="309" spans="1:7" x14ac:dyDescent="0.25">
      <c r="A309" s="1">
        <v>307</v>
      </c>
      <c r="B309" s="1">
        <f t="shared" si="28"/>
        <v>5.3581608036225914</v>
      </c>
      <c r="C309" s="1">
        <f t="shared" si="29"/>
        <v>-0.79863551004729305</v>
      </c>
      <c r="D309" s="1">
        <f t="shared" si="24"/>
        <v>-0.38589878798937416</v>
      </c>
      <c r="E309" s="1">
        <f t="shared" si="25"/>
        <v>-1.8607703219535416</v>
      </c>
      <c r="F309" s="1">
        <f t="shared" si="26"/>
        <v>-0.21953588336388061</v>
      </c>
      <c r="G309" s="1">
        <f t="shared" si="27"/>
        <v>-1.2582370827185796</v>
      </c>
    </row>
    <row r="310" spans="1:7" x14ac:dyDescent="0.25">
      <c r="A310" s="1">
        <v>308</v>
      </c>
      <c r="B310" s="1">
        <f t="shared" si="28"/>
        <v>5.3756140961425345</v>
      </c>
      <c r="C310" s="1">
        <f t="shared" si="29"/>
        <v>-0.78801075360672235</v>
      </c>
      <c r="D310" s="1">
        <f t="shared" si="24"/>
        <v>-0.38340094682694942</v>
      </c>
      <c r="E310" s="1">
        <f t="shared" si="25"/>
        <v>-1.8487259495723518</v>
      </c>
      <c r="F310" s="1">
        <f t="shared" si="26"/>
        <v>-0.2193672683626961</v>
      </c>
      <c r="G310" s="1">
        <f t="shared" si="27"/>
        <v>-1.2500927804426412</v>
      </c>
    </row>
    <row r="311" spans="1:7" x14ac:dyDescent="0.25">
      <c r="A311" s="1">
        <v>309</v>
      </c>
      <c r="B311" s="1">
        <f t="shared" si="28"/>
        <v>5.3930673886624776</v>
      </c>
      <c r="C311" s="1">
        <f t="shared" si="29"/>
        <v>-0.77714596145697135</v>
      </c>
      <c r="D311" s="1">
        <f t="shared" si="24"/>
        <v>-0.38081065345406362</v>
      </c>
      <c r="E311" s="1">
        <f t="shared" si="25"/>
        <v>-1.8362357806901639</v>
      </c>
      <c r="F311" s="1">
        <f t="shared" si="26"/>
        <v>-0.21919035501730152</v>
      </c>
      <c r="G311" s="1">
        <f t="shared" si="27"/>
        <v>-1.2416470343601871</v>
      </c>
    </row>
    <row r="312" spans="1:7" x14ac:dyDescent="0.25">
      <c r="A312" s="1">
        <v>310</v>
      </c>
      <c r="B312" s="1">
        <f t="shared" si="28"/>
        <v>5.4105206811824216</v>
      </c>
      <c r="C312" s="1">
        <f t="shared" si="29"/>
        <v>-0.76604444311897812</v>
      </c>
      <c r="D312" s="1">
        <f t="shared" si="24"/>
        <v>-0.37812548916307559</v>
      </c>
      <c r="E312" s="1">
        <f t="shared" si="25"/>
        <v>-1.8232881525095397</v>
      </c>
      <c r="F312" s="1">
        <f t="shared" si="26"/>
        <v>-0.21900471082802653</v>
      </c>
      <c r="G312" s="1">
        <f t="shared" si="27"/>
        <v>-1.2328919581866751</v>
      </c>
    </row>
    <row r="313" spans="1:7" x14ac:dyDescent="0.25">
      <c r="A313" s="1">
        <v>311</v>
      </c>
      <c r="B313" s="1">
        <f t="shared" si="28"/>
        <v>5.4279739737023647</v>
      </c>
      <c r="C313" s="1">
        <f t="shared" si="29"/>
        <v>-0.75470958022277224</v>
      </c>
      <c r="D313" s="1">
        <f t="shared" si="24"/>
        <v>-0.3753429158271373</v>
      </c>
      <c r="E313" s="1">
        <f t="shared" si="25"/>
        <v>-1.8098708264040331</v>
      </c>
      <c r="F313" s="1">
        <f t="shared" si="26"/>
        <v>-0.21880986843834407</v>
      </c>
      <c r="G313" s="1">
        <f t="shared" si="27"/>
        <v>-1.2238192762668814</v>
      </c>
    </row>
    <row r="314" spans="1:7" x14ac:dyDescent="0.25">
      <c r="A314" s="1">
        <v>312</v>
      </c>
      <c r="B314" s="1">
        <f t="shared" si="28"/>
        <v>5.4454272662223087</v>
      </c>
      <c r="C314" s="1">
        <f t="shared" si="29"/>
        <v>-0.74314482547739402</v>
      </c>
      <c r="D314" s="1">
        <f t="shared" si="24"/>
        <v>-0.37246027002207449</v>
      </c>
      <c r="E314" s="1">
        <f t="shared" si="25"/>
        <v>-1.7959709595744113</v>
      </c>
      <c r="F314" s="1">
        <f t="shared" si="26"/>
        <v>-0.21860532225228652</v>
      </c>
      <c r="G314" s="1">
        <f t="shared" si="27"/>
        <v>-1.2144203044090764</v>
      </c>
    </row>
    <row r="315" spans="1:7" x14ac:dyDescent="0.25">
      <c r="A315" s="1">
        <v>313</v>
      </c>
      <c r="B315" s="1">
        <f t="shared" si="28"/>
        <v>5.4628805587422518</v>
      </c>
      <c r="C315" s="1">
        <f t="shared" si="29"/>
        <v>-0.73135370161917035</v>
      </c>
      <c r="D315" s="1">
        <f t="shared" si="24"/>
        <v>-0.36947475675762015</v>
      </c>
      <c r="E315" s="1">
        <f t="shared" si="25"/>
        <v>-1.7815750748212096</v>
      </c>
      <c r="F315" s="1">
        <f t="shared" si="26"/>
        <v>-0.21839052464163453</v>
      </c>
      <c r="G315" s="1">
        <f t="shared" si="27"/>
        <v>-1.2046859294454835</v>
      </c>
    </row>
    <row r="316" spans="1:7" x14ac:dyDescent="0.25">
      <c r="A316" s="1">
        <v>314</v>
      </c>
      <c r="B316" s="1">
        <f t="shared" si="28"/>
        <v>5.4803338512621949</v>
      </c>
      <c r="C316" s="1">
        <f t="shared" si="29"/>
        <v>-0.71933980033865119</v>
      </c>
      <c r="D316" s="1">
        <f t="shared" si="24"/>
        <v>-0.36638344278945417</v>
      </c>
      <c r="E316" s="1">
        <f t="shared" si="25"/>
        <v>-1.7666690282959687</v>
      </c>
      <c r="F316" s="1">
        <f t="shared" si="26"/>
        <v>-0.21816488168411718</v>
      </c>
      <c r="G316" s="1">
        <f t="shared" si="27"/>
        <v>-1.1946065874259395</v>
      </c>
    </row>
    <row r="317" spans="1:7" x14ac:dyDescent="0.25">
      <c r="A317" s="1">
        <v>315</v>
      </c>
      <c r="B317" s="1">
        <f t="shared" si="28"/>
        <v>5.497787143782138</v>
      </c>
      <c r="C317" s="1">
        <f t="shared" si="29"/>
        <v>-0.70710678118654768</v>
      </c>
      <c r="D317" s="1">
        <f t="shared" si="24"/>
        <v>-0.36318324948102831</v>
      </c>
      <c r="E317" s="1">
        <f t="shared" si="25"/>
        <v>-1.7512379750815772</v>
      </c>
      <c r="F317" s="1">
        <f t="shared" si="26"/>
        <v>-0.21792774836401455</v>
      </c>
      <c r="G317" s="1">
        <f t="shared" si="27"/>
        <v>-1.1841722403436157</v>
      </c>
    </row>
    <row r="318" spans="1:7" x14ac:dyDescent="0.25">
      <c r="A318" s="1">
        <v>316</v>
      </c>
      <c r="B318" s="1">
        <f t="shared" si="28"/>
        <v>5.5152404363020811</v>
      </c>
      <c r="C318" s="1">
        <f t="shared" si="29"/>
        <v>-0.69465837045899759</v>
      </c>
      <c r="D318" s="1">
        <f t="shared" si="24"/>
        <v>-0.35987094518142126</v>
      </c>
      <c r="E318" s="1">
        <f t="shared" si="25"/>
        <v>-1.7352663324389535</v>
      </c>
      <c r="F318" s="1">
        <f t="shared" si="26"/>
        <v>-0.21767842315480895</v>
      </c>
      <c r="G318" s="1">
        <f t="shared" si="27"/>
        <v>-1.1733723512827343</v>
      </c>
    </row>
    <row r="319" spans="1:7" x14ac:dyDescent="0.25">
      <c r="A319" s="1">
        <v>317</v>
      </c>
      <c r="B319" s="1">
        <f t="shared" si="28"/>
        <v>5.5326937288220241</v>
      </c>
      <c r="C319" s="1">
        <f t="shared" si="29"/>
        <v>-0.68199836006249892</v>
      </c>
      <c r="D319" s="1">
        <f t="shared" si="24"/>
        <v>-0.35644313708247916</v>
      </c>
      <c r="E319" s="1">
        <f t="shared" si="25"/>
        <v>-1.7187377405428859</v>
      </c>
      <c r="F319" s="1">
        <f t="shared" si="26"/>
        <v>-0.21741614188948052</v>
      </c>
      <c r="G319" s="1">
        <f t="shared" si="27"/>
        <v>-1.1621958578684799</v>
      </c>
    </row>
    <row r="320" spans="1:7" x14ac:dyDescent="0.25">
      <c r="A320" s="1">
        <v>318</v>
      </c>
      <c r="B320" s="1">
        <f t="shared" si="28"/>
        <v>5.5501470213419672</v>
      </c>
      <c r="C320" s="1">
        <f t="shared" si="29"/>
        <v>-0.66913060635885879</v>
      </c>
      <c r="D320" s="1">
        <f t="shared" si="24"/>
        <v>-0.35289626251520761</v>
      </c>
      <c r="E320" s="1">
        <f t="shared" si="25"/>
        <v>-1.7016350205139947</v>
      </c>
      <c r="F320" s="1">
        <f t="shared" si="26"/>
        <v>-0.21714007080716402</v>
      </c>
      <c r="G320" s="1">
        <f t="shared" si="27"/>
        <v>-1.1506311438885661</v>
      </c>
    </row>
    <row r="321" spans="1:7" x14ac:dyDescent="0.25">
      <c r="A321" s="1">
        <v>319</v>
      </c>
      <c r="B321" s="1">
        <f t="shared" si="28"/>
        <v>5.5676003138619112</v>
      </c>
      <c r="C321" s="1">
        <f t="shared" si="29"/>
        <v>-0.65605902899050739</v>
      </c>
      <c r="D321" s="1">
        <f t="shared" si="24"/>
        <v>-0.34922657964175452</v>
      </c>
      <c r="E321" s="1">
        <f t="shared" si="25"/>
        <v>-1.6839401295362839</v>
      </c>
      <c r="F321" s="1">
        <f t="shared" si="26"/>
        <v>-0.21684929864453836</v>
      </c>
      <c r="G321" s="1">
        <f t="shared" si="27"/>
        <v>-1.1386660089441074</v>
      </c>
    </row>
    <row r="322" spans="1:7" x14ac:dyDescent="0.25">
      <c r="A322" s="1">
        <v>320</v>
      </c>
      <c r="B322" s="1">
        <f t="shared" si="28"/>
        <v>5.5850536063818543</v>
      </c>
      <c r="C322" s="1">
        <f t="shared" si="29"/>
        <v>-0.64278760968653958</v>
      </c>
      <c r="D322" s="1">
        <f t="shared" si="24"/>
        <v>-0.34543015749533962</v>
      </c>
      <c r="E322" s="1">
        <f t="shared" si="25"/>
        <v>-1.6656341128305499</v>
      </c>
      <c r="F322" s="1">
        <f t="shared" si="26"/>
        <v>-0.21654282761569207</v>
      </c>
      <c r="G322" s="1">
        <f t="shared" si="27"/>
        <v>-1.1262876359744445</v>
      </c>
    </row>
    <row r="323" spans="1:7" x14ac:dyDescent="0.25">
      <c r="A323" s="1">
        <v>321</v>
      </c>
      <c r="B323" s="1">
        <f t="shared" si="28"/>
        <v>5.6025068989017983</v>
      </c>
      <c r="C323" s="1">
        <f t="shared" si="29"/>
        <v>-0.62932039104983717</v>
      </c>
      <c r="D323" s="1">
        <f t="shared" ref="D323:D362" si="30">C323/(1+Kv_acmin*ABS(C323))</f>
        <v>-0.34150286531607688</v>
      </c>
      <c r="E323" s="1">
        <f t="shared" ref="E323:E362" si="31">Ip_pk_min*D323</f>
        <v>-1.6466970522326463</v>
      </c>
      <c r="F323" s="1">
        <f t="shared" ref="F323:F362" si="32">E323/(1+Kv_acmax*ABS(E323))</f>
        <v>-0.21621956309427104</v>
      </c>
      <c r="G323" s="1">
        <f t="shared" ref="G323:G362" si="33">Ip_pk_max*D323</f>
        <v>-1.1134825564862054</v>
      </c>
    </row>
    <row r="324" spans="1:7" x14ac:dyDescent="0.25">
      <c r="A324" s="1">
        <v>322</v>
      </c>
      <c r="B324" s="1">
        <f t="shared" ref="B324:B362" si="34">A324/360*PI()*2</f>
        <v>5.6199601914217414</v>
      </c>
      <c r="C324" s="1">
        <f t="shared" ref="C324:C362" si="35">SIN(B324)</f>
        <v>-0.61566147532565818</v>
      </c>
      <c r="D324" s="1">
        <f t="shared" si="30"/>
        <v>-0.3374403611257879</v>
      </c>
      <c r="E324" s="1">
        <f t="shared" si="31"/>
        <v>-1.62710801110223</v>
      </c>
      <c r="F324" s="1">
        <f t="shared" si="32"/>
        <v>-0.21587830177517525</v>
      </c>
      <c r="G324" s="1">
        <f t="shared" si="33"/>
        <v>-1.1002366133010666</v>
      </c>
    </row>
    <row r="325" spans="1:7" x14ac:dyDescent="0.25">
      <c r="A325" s="1">
        <v>323</v>
      </c>
      <c r="B325" s="1">
        <f t="shared" si="34"/>
        <v>5.6374134839416845</v>
      </c>
      <c r="C325" s="1">
        <f t="shared" si="35"/>
        <v>-0.60181502315204827</v>
      </c>
      <c r="D325" s="1">
        <f t="shared" si="30"/>
        <v>-0.33323807947951856</v>
      </c>
      <c r="E325" s="1">
        <f t="shared" si="31"/>
        <v>-1.6068449752616423</v>
      </c>
      <c r="F325" s="1">
        <f t="shared" si="32"/>
        <v>-0.21551771804825487</v>
      </c>
      <c r="G325" s="1">
        <f t="shared" si="33"/>
        <v>-1.0865349206191259</v>
      </c>
    </row>
    <row r="326" spans="1:7" x14ac:dyDescent="0.25">
      <c r="A326" s="1">
        <v>324</v>
      </c>
      <c r="B326" s="1">
        <f t="shared" si="34"/>
        <v>5.6548667764616276</v>
      </c>
      <c r="C326" s="1">
        <f t="shared" si="35"/>
        <v>-0.58778525229247336</v>
      </c>
      <c r="D326" s="1">
        <f t="shared" si="30"/>
        <v>-0.32889121832554075</v>
      </c>
      <c r="E326" s="1">
        <f t="shared" si="31"/>
        <v>-1.5858847896359818</v>
      </c>
      <c r="F326" s="1">
        <f t="shared" si="32"/>
        <v>-0.21513634826124203</v>
      </c>
      <c r="G326" s="1">
        <f t="shared" si="33"/>
        <v>-1.0723618211754595</v>
      </c>
    </row>
    <row r="327" spans="1:7" x14ac:dyDescent="0.25">
      <c r="A327" s="1">
        <v>325</v>
      </c>
      <c r="B327" s="1">
        <f t="shared" si="34"/>
        <v>5.6723200689815707</v>
      </c>
      <c r="C327" s="1">
        <f t="shared" si="35"/>
        <v>-0.57357643635104649</v>
      </c>
      <c r="D327" s="1">
        <f t="shared" si="30"/>
        <v>-0.32439472489902138</v>
      </c>
      <c r="E327" s="1">
        <f t="shared" si="31"/>
        <v>-1.564203090233607</v>
      </c>
      <c r="F327" s="1">
        <f t="shared" si="32"/>
        <v>-0.21473257248078081</v>
      </c>
      <c r="G327" s="1">
        <f t="shared" si="33"/>
        <v>-1.0577008402459138</v>
      </c>
    </row>
    <row r="328" spans="1:7" x14ac:dyDescent="0.25">
      <c r="A328" s="1">
        <v>326</v>
      </c>
      <c r="B328" s="1">
        <f t="shared" si="34"/>
        <v>5.6897733615015138</v>
      </c>
      <c r="C328" s="1">
        <f t="shared" si="35"/>
        <v>-0.55919290347074735</v>
      </c>
      <c r="D328" s="1">
        <f t="shared" si="30"/>
        <v>-0.31974328056724177</v>
      </c>
      <c r="E328" s="1">
        <f t="shared" si="31"/>
        <v>-1.5417742310711033</v>
      </c>
      <c r="F328" s="1">
        <f t="shared" si="32"/>
        <v>-0.21430459327530563</v>
      </c>
      <c r="G328" s="1">
        <f t="shared" si="33"/>
        <v>-1.042534636234391</v>
      </c>
    </row>
    <row r="329" spans="1:7" x14ac:dyDescent="0.25">
      <c r="A329" s="1">
        <v>327</v>
      </c>
      <c r="B329" s="1">
        <f t="shared" si="34"/>
        <v>5.7072266540214578</v>
      </c>
      <c r="C329" s="1">
        <f t="shared" si="35"/>
        <v>-0.54463903501502697</v>
      </c>
      <c r="D329" s="1">
        <f t="shared" si="30"/>
        <v>-0.31493128453612995</v>
      </c>
      <c r="E329" s="1">
        <f t="shared" si="31"/>
        <v>-1.5185712056076037</v>
      </c>
      <c r="F329" s="1">
        <f t="shared" si="32"/>
        <v>-0.21385041093699522</v>
      </c>
      <c r="G329" s="1">
        <f t="shared" si="33"/>
        <v>-1.0268449475474024</v>
      </c>
    </row>
    <row r="330" spans="1:7" x14ac:dyDescent="0.25">
      <c r="A330" s="1">
        <v>328</v>
      </c>
      <c r="B330" s="1">
        <f t="shared" si="34"/>
        <v>5.7246799465414009</v>
      </c>
      <c r="C330" s="1">
        <f t="shared" si="35"/>
        <v>-0.52991926423320501</v>
      </c>
      <c r="D330" s="1">
        <f t="shared" si="30"/>
        <v>-0.30995283631884463</v>
      </c>
      <c r="E330" s="1">
        <f t="shared" si="31"/>
        <v>-1.4945655622098273</v>
      </c>
      <c r="F330" s="1">
        <f t="shared" si="32"/>
        <v>-0.21336779442592582</v>
      </c>
      <c r="G330" s="1">
        <f t="shared" si="33"/>
        <v>-1.0106125354322468</v>
      </c>
    </row>
    <row r="331" spans="1:7" x14ac:dyDescent="0.25">
      <c r="A331" s="1">
        <v>329</v>
      </c>
      <c r="B331" s="1">
        <f t="shared" si="34"/>
        <v>5.742133239061344</v>
      </c>
      <c r="C331" s="1">
        <f t="shared" si="35"/>
        <v>-0.51503807491005449</v>
      </c>
      <c r="D331" s="1">
        <f t="shared" si="30"/>
        <v>-0.30480171685709567</v>
      </c>
      <c r="E331" s="1">
        <f t="shared" si="31"/>
        <v>-1.4697273131207327</v>
      </c>
      <c r="F331" s="1">
        <f t="shared" si="32"/>
        <v>-0.21285424714970477</v>
      </c>
      <c r="G331" s="1">
        <f t="shared" si="33"/>
        <v>-0.99381712242238684</v>
      </c>
    </row>
    <row r="332" spans="1:7" x14ac:dyDescent="0.25">
      <c r="A332" s="1">
        <v>330</v>
      </c>
      <c r="B332" s="1">
        <f t="shared" si="34"/>
        <v>5.7595865315812871</v>
      </c>
      <c r="C332" s="1">
        <f t="shared" si="35"/>
        <v>-0.50000000000000044</v>
      </c>
      <c r="D332" s="1">
        <f t="shared" si="30"/>
        <v>-0.299471368174685</v>
      </c>
      <c r="E332" s="1">
        <f t="shared" si="31"/>
        <v>-1.4440248363506656</v>
      </c>
      <c r="F332" s="1">
        <f t="shared" si="32"/>
        <v>-0.21230696647537439</v>
      </c>
      <c r="G332" s="1">
        <f t="shared" si="33"/>
        <v>-0.97643732599707678</v>
      </c>
    </row>
    <row r="333" spans="1:7" x14ac:dyDescent="0.25">
      <c r="A333" s="1">
        <v>331</v>
      </c>
      <c r="B333" s="1">
        <f t="shared" si="34"/>
        <v>5.7770398241012302</v>
      </c>
      <c r="C333" s="1">
        <f t="shared" si="35"/>
        <v>-0.48480962024633767</v>
      </c>
      <c r="D333" s="1">
        <f t="shared" si="30"/>
        <v>-0.29395487143023613</v>
      </c>
      <c r="E333" s="1">
        <f t="shared" si="31"/>
        <v>-1.417424769849533</v>
      </c>
      <c r="F333" s="1">
        <f t="shared" si="32"/>
        <v>-0.211722795592548</v>
      </c>
      <c r="G333" s="1">
        <f t="shared" si="33"/>
        <v>-0.95845058702148545</v>
      </c>
    </row>
    <row r="334" spans="1:7" x14ac:dyDescent="0.25">
      <c r="A334" s="1">
        <v>332</v>
      </c>
      <c r="B334" s="1">
        <f t="shared" si="34"/>
        <v>5.7944931166211742</v>
      </c>
      <c r="C334" s="1">
        <f t="shared" si="35"/>
        <v>-0.46947156278589081</v>
      </c>
      <c r="D334" s="1">
        <f t="shared" si="30"/>
        <v>-0.28824492322209339</v>
      </c>
      <c r="E334" s="1">
        <f t="shared" si="31"/>
        <v>-1.3898918972510932</v>
      </c>
      <c r="F334" s="1">
        <f t="shared" si="32"/>
        <v>-0.21109816598764564</v>
      </c>
      <c r="G334" s="1">
        <f t="shared" si="33"/>
        <v>-0.93983309248795632</v>
      </c>
    </row>
    <row r="335" spans="1:7" x14ac:dyDescent="0.25">
      <c r="A335" s="1">
        <v>333</v>
      </c>
      <c r="B335" s="1">
        <f t="shared" si="34"/>
        <v>5.8119464091411173</v>
      </c>
      <c r="C335" s="1">
        <f t="shared" si="35"/>
        <v>-0.45399049973954697</v>
      </c>
      <c r="D335" s="1">
        <f t="shared" si="30"/>
        <v>-0.28233380998271607</v>
      </c>
      <c r="E335" s="1">
        <f t="shared" si="31"/>
        <v>-1.3613890244049549</v>
      </c>
      <c r="F335" s="1">
        <f t="shared" si="32"/>
        <v>-0.21042902832143121</v>
      </c>
      <c r="G335" s="1">
        <f t="shared" si="33"/>
        <v>-0.92055969202799404</v>
      </c>
    </row>
    <row r="336" spans="1:7" x14ac:dyDescent="0.25">
      <c r="A336" s="1">
        <v>334</v>
      </c>
      <c r="B336" s="1">
        <f t="shared" si="34"/>
        <v>5.8293997016610604</v>
      </c>
      <c r="C336" s="1">
        <f t="shared" si="35"/>
        <v>-0.43837114678907779</v>
      </c>
      <c r="D336" s="1">
        <f t="shared" si="30"/>
        <v>-0.27621338028232728</v>
      </c>
      <c r="E336" s="1">
        <f t="shared" si="31"/>
        <v>-1.3318768458271875</v>
      </c>
      <c r="F336" s="1">
        <f t="shared" si="32"/>
        <v>-0.2097107688880761</v>
      </c>
      <c r="G336" s="1">
        <f t="shared" si="33"/>
        <v>-0.90060380760730141</v>
      </c>
    </row>
    <row r="337" spans="1:7" x14ac:dyDescent="0.25">
      <c r="A337" s="1">
        <v>335</v>
      </c>
      <c r="B337" s="1">
        <f t="shared" si="34"/>
        <v>5.8468529941810043</v>
      </c>
      <c r="C337" s="1">
        <f t="shared" si="35"/>
        <v>-0.42261826174069922</v>
      </c>
      <c r="D337" s="1">
        <f t="shared" si="30"/>
        <v>-0.2698750148418726</v>
      </c>
      <c r="E337" s="1">
        <f t="shared" si="31"/>
        <v>-1.3013138001054194</v>
      </c>
      <c r="F337" s="1">
        <f t="shared" si="32"/>
        <v>-0.2089381080209953</v>
      </c>
      <c r="G337" s="1">
        <f t="shared" si="33"/>
        <v>-0.87993733575193611</v>
      </c>
    </row>
    <row r="338" spans="1:7" x14ac:dyDescent="0.25">
      <c r="A338" s="1">
        <v>336</v>
      </c>
      <c r="B338" s="1">
        <f t="shared" si="34"/>
        <v>5.8643062867009474</v>
      </c>
      <c r="C338" s="1">
        <f t="shared" si="35"/>
        <v>-0.40673664307580015</v>
      </c>
      <c r="D338" s="1">
        <f t="shared" si="30"/>
        <v>-0.26330959403316889</v>
      </c>
      <c r="E338" s="1">
        <f t="shared" si="31"/>
        <v>-1.2696559131873904</v>
      </c>
      <c r="F338" s="1">
        <f t="shared" si="32"/>
        <v>-0.20810497572437581</v>
      </c>
      <c r="G338" s="1">
        <f t="shared" si="33"/>
        <v>-0.85853054158136033</v>
      </c>
    </row>
    <row r="339" spans="1:7" x14ac:dyDescent="0.25">
      <c r="A339" s="1">
        <v>337</v>
      </c>
      <c r="B339" s="1">
        <f t="shared" si="34"/>
        <v>5.8817595792208905</v>
      </c>
      <c r="C339" s="1">
        <f t="shared" si="35"/>
        <v>-0.39073112848927388</v>
      </c>
      <c r="D339" s="1">
        <f t="shared" si="30"/>
        <v>-0.25650746261915019</v>
      </c>
      <c r="E339" s="1">
        <f t="shared" si="31"/>
        <v>-1.2368566283614884</v>
      </c>
      <c r="F339" s="1">
        <f t="shared" si="32"/>
        <v>-0.20720435834355738</v>
      </c>
      <c r="G339" s="1">
        <f t="shared" si="33"/>
        <v>-0.83635194384272482</v>
      </c>
    </row>
    <row r="340" spans="1:7" x14ac:dyDescent="0.25">
      <c r="A340" s="1">
        <v>338</v>
      </c>
      <c r="B340" s="1">
        <f t="shared" si="34"/>
        <v>5.8992128717408336</v>
      </c>
      <c r="C340" s="1">
        <f t="shared" si="35"/>
        <v>-0.37460659341591235</v>
      </c>
      <c r="D340" s="1">
        <f t="shared" si="30"/>
        <v>-0.2494583914589654</v>
      </c>
      <c r="E340" s="1">
        <f t="shared" si="31"/>
        <v>-1.2028666216020691</v>
      </c>
      <c r="F340" s="1">
        <f t="shared" si="32"/>
        <v>-0.20622810808904266</v>
      </c>
      <c r="G340" s="1">
        <f t="shared" si="33"/>
        <v>-0.81336819004894301</v>
      </c>
    </row>
    <row r="341" spans="1:7" x14ac:dyDescent="0.25">
      <c r="A341" s="1">
        <v>339</v>
      </c>
      <c r="B341" s="1">
        <f t="shared" si="34"/>
        <v>5.9166661642607767</v>
      </c>
      <c r="C341" s="1">
        <f t="shared" si="35"/>
        <v>-0.35836794954530077</v>
      </c>
      <c r="D341" s="1">
        <f t="shared" si="30"/>
        <v>-0.24215153587083993</v>
      </c>
      <c r="E341" s="1">
        <f t="shared" si="31"/>
        <v>-1.1676336007988046</v>
      </c>
      <c r="F341" s="1">
        <f t="shared" si="32"/>
        <v>-0.20516670447379567</v>
      </c>
      <c r="G341" s="1">
        <f t="shared" si="33"/>
        <v>-0.78954392071928114</v>
      </c>
    </row>
    <row r="342" spans="1:7" x14ac:dyDescent="0.25">
      <c r="A342" s="1">
        <v>340</v>
      </c>
      <c r="B342" s="1">
        <f t="shared" si="34"/>
        <v>5.9341194567807198</v>
      </c>
      <c r="C342" s="1">
        <f t="shared" si="35"/>
        <v>-0.34202014332566943</v>
      </c>
      <c r="D342" s="1">
        <f t="shared" si="30"/>
        <v>-0.23457539030960414</v>
      </c>
      <c r="E342" s="1">
        <f t="shared" si="31"/>
        <v>-1.1311020872156736</v>
      </c>
      <c r="F342" s="1">
        <f t="shared" si="32"/>
        <v>-0.20400895287927137</v>
      </c>
      <c r="G342" s="1">
        <f t="shared" si="33"/>
        <v>-0.76484162160378577</v>
      </c>
    </row>
    <row r="343" spans="1:7" x14ac:dyDescent="0.25">
      <c r="A343" s="1">
        <v>341</v>
      </c>
      <c r="B343" s="1">
        <f t="shared" si="34"/>
        <v>5.9515727493006638</v>
      </c>
      <c r="C343" s="1">
        <f t="shared" si="35"/>
        <v>-0.3255681544571567</v>
      </c>
      <c r="D343" s="1">
        <f t="shared" si="30"/>
        <v>-0.22671773897494482</v>
      </c>
      <c r="E343" s="1">
        <f t="shared" si="31"/>
        <v>-1.093213177328257</v>
      </c>
      <c r="F343" s="1">
        <f t="shared" si="32"/>
        <v>-0.20274160003195921</v>
      </c>
      <c r="G343" s="1">
        <f t="shared" si="33"/>
        <v>-0.73922146263968525</v>
      </c>
    </row>
    <row r="344" spans="1:7" x14ac:dyDescent="0.25">
      <c r="A344" s="1">
        <v>342</v>
      </c>
      <c r="B344" s="1">
        <f t="shared" si="34"/>
        <v>5.9690260418206069</v>
      </c>
      <c r="C344" s="1">
        <f t="shared" si="35"/>
        <v>-0.30901699437494762</v>
      </c>
      <c r="D344" s="1">
        <f t="shared" si="30"/>
        <v>-0.21856560192005534</v>
      </c>
      <c r="E344" s="1">
        <f t="shared" si="31"/>
        <v>-1.0539042829643446</v>
      </c>
      <c r="F344" s="1">
        <f t="shared" si="32"/>
        <v>-0.20134883838377207</v>
      </c>
      <c r="G344" s="1">
        <f t="shared" si="33"/>
        <v>-0.71264112223667619</v>
      </c>
    </row>
    <row r="345" spans="1:7" x14ac:dyDescent="0.25">
      <c r="A345" s="1">
        <v>343</v>
      </c>
      <c r="B345" s="1">
        <f t="shared" si="34"/>
        <v>5.98647933434055</v>
      </c>
      <c r="C345" s="1">
        <f t="shared" si="35"/>
        <v>-0.29237170472273716</v>
      </c>
      <c r="D345" s="1">
        <f t="shared" si="30"/>
        <v>-0.21010517617756927</v>
      </c>
      <c r="E345" s="1">
        <f t="shared" si="31"/>
        <v>-1.0131088474183192</v>
      </c>
      <c r="F345" s="1">
        <f t="shared" si="32"/>
        <v>-0.19981166005511034</v>
      </c>
      <c r="G345" s="1">
        <f t="shared" si="33"/>
        <v>-0.68505559531588178</v>
      </c>
    </row>
    <row r="346" spans="1:7" x14ac:dyDescent="0.25">
      <c r="A346" s="1">
        <v>344</v>
      </c>
      <c r="B346" s="1">
        <f t="shared" si="34"/>
        <v>6.003932626860494</v>
      </c>
      <c r="C346" s="1">
        <f t="shared" si="35"/>
        <v>-0.27563735581699894</v>
      </c>
      <c r="D346" s="1">
        <f t="shared" si="30"/>
        <v>-0.20132177135950535</v>
      </c>
      <c r="E346" s="1">
        <f t="shared" si="31"/>
        <v>-0.9707560349197033</v>
      </c>
      <c r="F346" s="1">
        <f t="shared" si="32"/>
        <v>-0.19810700422941449</v>
      </c>
      <c r="G346" s="1">
        <f t="shared" si="33"/>
        <v>-0.6564169833311212</v>
      </c>
    </row>
    <row r="347" spans="1:7" x14ac:dyDescent="0.25">
      <c r="A347" s="1">
        <v>345</v>
      </c>
      <c r="B347" s="1">
        <f t="shared" si="34"/>
        <v>6.0213859193804371</v>
      </c>
      <c r="C347" s="1">
        <f t="shared" si="35"/>
        <v>-0.25881904510252068</v>
      </c>
      <c r="D347" s="1">
        <f t="shared" si="30"/>
        <v>-0.19219973911921248</v>
      </c>
      <c r="E347" s="1">
        <f t="shared" si="31"/>
        <v>-0.92677039050480625</v>
      </c>
      <c r="F347" s="1">
        <f t="shared" si="32"/>
        <v>-0.1962066166232117</v>
      </c>
      <c r="G347" s="1">
        <f t="shared" si="33"/>
        <v>-0.62667426427700756</v>
      </c>
    </row>
    <row r="348" spans="1:7" x14ac:dyDescent="0.25">
      <c r="A348" s="1">
        <v>346</v>
      </c>
      <c r="B348" s="1">
        <f t="shared" si="34"/>
        <v>6.0388392119003802</v>
      </c>
      <c r="C348" s="1">
        <f t="shared" si="35"/>
        <v>-0.24192189559966787</v>
      </c>
      <c r="D348" s="1">
        <f t="shared" si="30"/>
        <v>-0.18272239578464036</v>
      </c>
      <c r="E348" s="1">
        <f t="shared" si="31"/>
        <v>-0.88107146696109817</v>
      </c>
      <c r="F348" s="1">
        <f t="shared" si="32"/>
        <v>-0.19407550082981101</v>
      </c>
      <c r="G348" s="1">
        <f t="shared" si="33"/>
        <v>-0.59577304043190249</v>
      </c>
    </row>
    <row r="349" spans="1:7" x14ac:dyDescent="0.25">
      <c r="A349" s="1">
        <v>347</v>
      </c>
      <c r="B349" s="1">
        <f t="shared" si="34"/>
        <v>6.0562925044203233</v>
      </c>
      <c r="C349" s="1">
        <f t="shared" si="35"/>
        <v>-0.22495105434386534</v>
      </c>
      <c r="D349" s="1">
        <f t="shared" si="30"/>
        <v>-0.17287193738206538</v>
      </c>
      <c r="E349" s="1">
        <f t="shared" si="31"/>
        <v>-0.8335734150790225</v>
      </c>
      <c r="F349" s="1">
        <f t="shared" si="32"/>
        <v>-0.19166978034721868</v>
      </c>
      <c r="G349" s="1">
        <f t="shared" si="33"/>
        <v>-0.56365526128967325</v>
      </c>
    </row>
    <row r="350" spans="1:7" x14ac:dyDescent="0.25">
      <c r="A350" s="1">
        <v>348</v>
      </c>
      <c r="B350" s="1">
        <f t="shared" si="34"/>
        <v>6.0737457969402664</v>
      </c>
      <c r="C350" s="1">
        <f t="shared" si="35"/>
        <v>-0.20791169081775987</v>
      </c>
      <c r="D350" s="1">
        <f t="shared" si="30"/>
        <v>-0.16262934616570457</v>
      </c>
      <c r="E350" s="1">
        <f t="shared" si="31"/>
        <v>-0.78418453294594093</v>
      </c>
      <c r="F350" s="1">
        <f t="shared" si="32"/>
        <v>-0.18893369194430465</v>
      </c>
      <c r="G350" s="1">
        <f t="shared" si="33"/>
        <v>-0.53025891879608744</v>
      </c>
    </row>
    <row r="351" spans="1:7" x14ac:dyDescent="0.25">
      <c r="A351" s="1">
        <v>349</v>
      </c>
      <c r="B351" s="1">
        <f t="shared" si="34"/>
        <v>6.0911990894602104</v>
      </c>
      <c r="C351" s="1">
        <f t="shared" si="35"/>
        <v>-0.19080899537654467</v>
      </c>
      <c r="D351" s="1">
        <f t="shared" si="30"/>
        <v>-0.1519742876492424</v>
      </c>
      <c r="E351" s="1">
        <f t="shared" si="31"/>
        <v>-0.73280676944113032</v>
      </c>
      <c r="F351" s="1">
        <f t="shared" si="32"/>
        <v>-0.18579526869593321</v>
      </c>
      <c r="G351" s="1">
        <f t="shared" si="33"/>
        <v>-0.49551771161634822</v>
      </c>
    </row>
    <row r="352" spans="1:7" x14ac:dyDescent="0.25">
      <c r="A352" s="1">
        <v>350</v>
      </c>
      <c r="B352" s="1">
        <f t="shared" si="34"/>
        <v>6.1086523819801535</v>
      </c>
      <c r="C352" s="1">
        <f t="shared" si="35"/>
        <v>-0.17364817766693039</v>
      </c>
      <c r="D352" s="1">
        <f t="shared" si="30"/>
        <v>-0.14088499699743989</v>
      </c>
      <c r="E352" s="1">
        <f t="shared" si="31"/>
        <v>-0.67933517642602315</v>
      </c>
      <c r="F352" s="1">
        <f t="shared" si="32"/>
        <v>-0.18215999426932117</v>
      </c>
      <c r="G352" s="1">
        <f t="shared" si="33"/>
        <v>-0.45936067471078895</v>
      </c>
    </row>
    <row r="353" spans="1:7" x14ac:dyDescent="0.25">
      <c r="A353" s="1">
        <v>351</v>
      </c>
      <c r="B353" s="1">
        <f t="shared" si="34"/>
        <v>6.1261056745000966</v>
      </c>
      <c r="C353" s="1">
        <f t="shared" si="35"/>
        <v>-0.15643446504023112</v>
      </c>
      <c r="D353" s="1">
        <f t="shared" si="30"/>
        <v>-0.1293381534764714</v>
      </c>
      <c r="E353" s="1">
        <f t="shared" si="31"/>
        <v>-0.62365730335467429</v>
      </c>
      <c r="F353" s="1">
        <f t="shared" si="32"/>
        <v>-0.17790122163108762</v>
      </c>
      <c r="G353" s="1">
        <f t="shared" si="33"/>
        <v>-0.42171176997561427</v>
      </c>
    </row>
    <row r="354" spans="1:7" x14ac:dyDescent="0.25">
      <c r="A354" s="1">
        <v>352</v>
      </c>
      <c r="B354" s="1">
        <f t="shared" si="34"/>
        <v>6.1435589670200397</v>
      </c>
      <c r="C354" s="1">
        <f t="shared" si="35"/>
        <v>-0.13917310096006588</v>
      </c>
      <c r="D354" s="1">
        <f t="shared" si="30"/>
        <v>-0.11730874147663761</v>
      </c>
      <c r="E354" s="1">
        <f t="shared" si="31"/>
        <v>-0.56565252713739611</v>
      </c>
      <c r="F354" s="1">
        <f t="shared" si="32"/>
        <v>-0.17284525268819248</v>
      </c>
      <c r="G354" s="1">
        <f t="shared" si="33"/>
        <v>-0.38248943310238337</v>
      </c>
    </row>
    <row r="355" spans="1:7" x14ac:dyDescent="0.25">
      <c r="A355" s="1">
        <v>353</v>
      </c>
      <c r="B355" s="1">
        <f t="shared" si="34"/>
        <v>6.1610122595399828</v>
      </c>
      <c r="C355" s="1">
        <f t="shared" si="35"/>
        <v>-0.12186934340514811</v>
      </c>
      <c r="D355" s="1">
        <f t="shared" si="30"/>
        <v>-0.10476989640595476</v>
      </c>
      <c r="E355" s="1">
        <f t="shared" si="31"/>
        <v>-0.50519130905307674</v>
      </c>
      <c r="F355" s="1">
        <f t="shared" si="32"/>
        <v>-0.16674725251026451</v>
      </c>
      <c r="G355" s="1">
        <f t="shared" si="33"/>
        <v>-0.34160607110843311</v>
      </c>
    </row>
    <row r="356" spans="1:7" x14ac:dyDescent="0.25">
      <c r="A356" s="1">
        <v>354</v>
      </c>
      <c r="B356" s="1">
        <f t="shared" si="34"/>
        <v>6.1784655520599259</v>
      </c>
      <c r="C356" s="1">
        <f t="shared" si="35"/>
        <v>-0.1045284632676543</v>
      </c>
      <c r="D356" s="1">
        <f t="shared" si="30"/>
        <v>-9.1692733502339266E-2</v>
      </c>
      <c r="E356" s="1">
        <f t="shared" si="31"/>
        <v>-0.44213436929645444</v>
      </c>
      <c r="F356" s="1">
        <f t="shared" si="32"/>
        <v>-0.15925068033884296</v>
      </c>
      <c r="G356" s="1">
        <f t="shared" si="33"/>
        <v>-0.29896750417275814</v>
      </c>
    </row>
    <row r="357" spans="1:7" x14ac:dyDescent="0.25">
      <c r="A357" s="1">
        <v>355</v>
      </c>
      <c r="B357" s="1">
        <f t="shared" si="34"/>
        <v>6.1959188445798699</v>
      </c>
      <c r="C357" s="1">
        <f t="shared" si="35"/>
        <v>-8.7155742747658319E-2</v>
      </c>
      <c r="D357" s="1">
        <f t="shared" si="30"/>
        <v>-7.8046157318960377E-2</v>
      </c>
      <c r="E357" s="1">
        <f t="shared" si="31"/>
        <v>-0.37633176833309334</v>
      </c>
      <c r="F357" s="1">
        <f t="shared" si="32"/>
        <v>-0.14981538264487099</v>
      </c>
      <c r="G357" s="1">
        <f t="shared" si="33"/>
        <v>-0.25447234445604944</v>
      </c>
    </row>
    <row r="358" spans="1:7" x14ac:dyDescent="0.25">
      <c r="A358" s="1">
        <v>356</v>
      </c>
      <c r="B358" s="1">
        <f t="shared" si="34"/>
        <v>6.213372137099813</v>
      </c>
      <c r="C358" s="1">
        <f t="shared" si="35"/>
        <v>-6.9756473744125636E-2</v>
      </c>
      <c r="D358" s="1">
        <f t="shared" si="30"/>
        <v>-6.3796649293747176E-2</v>
      </c>
      <c r="E358" s="1">
        <f t="shared" si="31"/>
        <v>-0.3076218825780605</v>
      </c>
      <c r="F358" s="1">
        <f t="shared" si="32"/>
        <v>-0.1375819331103148</v>
      </c>
      <c r="G358" s="1">
        <f t="shared" si="33"/>
        <v>-0.20801130346331917</v>
      </c>
    </row>
    <row r="359" spans="1:7" x14ac:dyDescent="0.25">
      <c r="A359" s="1">
        <v>357</v>
      </c>
      <c r="B359" s="1">
        <f t="shared" si="34"/>
        <v>6.2308254296197569</v>
      </c>
      <c r="C359" s="1">
        <f t="shared" si="35"/>
        <v>-5.2335956242943481E-2</v>
      </c>
      <c r="D359" s="1">
        <f t="shared" si="30"/>
        <v>-4.8908030410147407E-2</v>
      </c>
      <c r="E359" s="1">
        <f t="shared" si="31"/>
        <v>-0.2358302599667908</v>
      </c>
      <c r="F359" s="1">
        <f t="shared" si="32"/>
        <v>-0.12109484106130047</v>
      </c>
      <c r="G359" s="1">
        <f t="shared" si="33"/>
        <v>-0.15946641819064203</v>
      </c>
    </row>
    <row r="360" spans="1:7" x14ac:dyDescent="0.25">
      <c r="A360" s="1">
        <v>358</v>
      </c>
      <c r="B360" s="1">
        <f t="shared" si="34"/>
        <v>6.2482787221397</v>
      </c>
      <c r="C360" s="1">
        <f t="shared" si="35"/>
        <v>-3.4899496702500823E-2</v>
      </c>
      <c r="D360" s="1">
        <f t="shared" si="30"/>
        <v>-3.3341195480124583E-2</v>
      </c>
      <c r="E360" s="1">
        <f t="shared" si="31"/>
        <v>-0.16076833869085821</v>
      </c>
      <c r="F360" s="1">
        <f t="shared" si="32"/>
        <v>-9.7677403511174807E-2</v>
      </c>
      <c r="G360" s="1">
        <f t="shared" si="33"/>
        <v>-0.10871018474516946</v>
      </c>
    </row>
    <row r="361" spans="1:7" x14ac:dyDescent="0.25">
      <c r="A361" s="1">
        <v>359</v>
      </c>
      <c r="B361" s="1">
        <f t="shared" si="34"/>
        <v>6.2657320146596431</v>
      </c>
      <c r="C361" s="1">
        <f t="shared" si="35"/>
        <v>-1.745240643728356E-2</v>
      </c>
      <c r="D361" s="1">
        <f t="shared" si="30"/>
        <v>-1.7053815017274612E-2</v>
      </c>
      <c r="E361" s="1">
        <f t="shared" si="31"/>
        <v>-8.2232009656127786E-2</v>
      </c>
      <c r="F361" s="1">
        <f t="shared" si="32"/>
        <v>-6.1810936467459943E-2</v>
      </c>
      <c r="G361" s="1">
        <f t="shared" si="33"/>
        <v>-5.5604586291545327E-2</v>
      </c>
    </row>
    <row r="362" spans="1:7" x14ac:dyDescent="0.25">
      <c r="A362" s="1">
        <v>360</v>
      </c>
      <c r="B362" s="1">
        <f t="shared" si="34"/>
        <v>6.2831853071795862</v>
      </c>
      <c r="C362" s="1">
        <f t="shared" si="35"/>
        <v>-2.45029690981724E-16</v>
      </c>
      <c r="D362" s="1">
        <f t="shared" si="30"/>
        <v>-2.4502969098172395E-16</v>
      </c>
      <c r="E362" s="1">
        <f t="shared" si="31"/>
        <v>-1.181511813892491E-15</v>
      </c>
      <c r="F362" s="1">
        <f t="shared" si="32"/>
        <v>-1.1815118138924854E-15</v>
      </c>
      <c r="G362" s="1">
        <f t="shared" si="33"/>
        <v>-7.9892825050481543E-16</v>
      </c>
    </row>
  </sheetData>
  <mergeCells count="2">
    <mergeCell ref="D1:E1"/>
    <mergeCell ref="F1:G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84</vt:i4>
      </vt:variant>
    </vt:vector>
  </HeadingPairs>
  <TitlesOfParts>
    <vt:vector size="88" baseType="lpstr">
      <vt:lpstr>BP3338A</vt:lpstr>
      <vt:lpstr>SCH&amp;BOM</vt:lpstr>
      <vt:lpstr>Calculations</vt:lpstr>
      <vt:lpstr>Waveform</vt:lpstr>
      <vt:lpstr>Ae</vt:lpstr>
      <vt:lpstr>Bmax</vt:lpstr>
      <vt:lpstr>capcin</vt:lpstr>
      <vt:lpstr>cos_max</vt:lpstr>
      <vt:lpstr>cos_mid</vt:lpstr>
      <vt:lpstr>cos_min</vt:lpstr>
      <vt:lpstr>Cvcc</vt:lpstr>
      <vt:lpstr>dd</vt:lpstr>
      <vt:lpstr>ddd</vt:lpstr>
      <vt:lpstr>Efficiency</vt:lpstr>
      <vt:lpstr>F1kvmax</vt:lpstr>
      <vt:lpstr>F1kvmid</vt:lpstr>
      <vt:lpstr>F1kvmin</vt:lpstr>
      <vt:lpstr>F2kvmax</vt:lpstr>
      <vt:lpstr>F2kvmid</vt:lpstr>
      <vt:lpstr>F2kvmin</vt:lpstr>
      <vt:lpstr>F3kvmax</vt:lpstr>
      <vt:lpstr>F3kvmid</vt:lpstr>
      <vt:lpstr>F3kvmin</vt:lpstr>
      <vt:lpstr>F4kvmax</vt:lpstr>
      <vt:lpstr>F4kvmin</vt:lpstr>
      <vt:lpstr>F5kvmax</vt:lpstr>
      <vt:lpstr>F5kvmid</vt:lpstr>
      <vt:lpstr>F5kvmin</vt:lpstr>
      <vt:lpstr>Fac_min</vt:lpstr>
      <vt:lpstr>Fac_nom</vt:lpstr>
      <vt:lpstr>FB_Openloop</vt:lpstr>
      <vt:lpstr>FB_OVP</vt:lpstr>
      <vt:lpstr>FB_ZCD</vt:lpstr>
      <vt:lpstr>Fsw_min</vt:lpstr>
      <vt:lpstr>Ifb</vt:lpstr>
      <vt:lpstr>Iout</vt:lpstr>
      <vt:lpstr>Ip_pk</vt:lpstr>
      <vt:lpstr>Ip_pk_max</vt:lpstr>
      <vt:lpstr>Ip_pk_max_low</vt:lpstr>
      <vt:lpstr>Ip_pk_min</vt:lpstr>
      <vt:lpstr>Ip_rms_low</vt:lpstr>
      <vt:lpstr>Is_rms_low</vt:lpstr>
      <vt:lpstr>Ivcc_charge</vt:lpstr>
      <vt:lpstr>Ivcc_discharge</vt:lpstr>
      <vt:lpstr>K1a</vt:lpstr>
      <vt:lpstr>Kdiode</vt:lpstr>
      <vt:lpstr>Kmos</vt:lpstr>
      <vt:lpstr>Kv_acmax</vt:lpstr>
      <vt:lpstr>Kv_acmid</vt:lpstr>
      <vt:lpstr>Kv_acmin</vt:lpstr>
      <vt:lpstr>Lp</vt:lpstr>
      <vt:lpstr>Naux</vt:lpstr>
      <vt:lpstr>Np</vt:lpstr>
      <vt:lpstr>Nps</vt:lpstr>
      <vt:lpstr>Nps_real</vt:lpstr>
      <vt:lpstr>Ns</vt:lpstr>
      <vt:lpstr>Nsp_real</vt:lpstr>
      <vt:lpstr>Pin_max</vt:lpstr>
      <vt:lpstr>Po_max</vt:lpstr>
      <vt:lpstr>Calculations!PQ_bobin</vt:lpstr>
      <vt:lpstr>Calculations!PQ_bobinl</vt:lpstr>
      <vt:lpstr>'SCH&amp;BOM'!Print_Area</vt:lpstr>
      <vt:lpstr>Rdown</vt:lpstr>
      <vt:lpstr>Rup</vt:lpstr>
      <vt:lpstr>Rvcc</vt:lpstr>
      <vt:lpstr>Tdelay_est</vt:lpstr>
      <vt:lpstr>Vac_max</vt:lpstr>
      <vt:lpstr>Vac_max_pk</vt:lpstr>
      <vt:lpstr>Vac_mid</vt:lpstr>
      <vt:lpstr>Vac_mid_pk</vt:lpstr>
      <vt:lpstr>Vac_min</vt:lpstr>
      <vt:lpstr>Vac_min_pk</vt:lpstr>
      <vt:lpstr>Vcc_max</vt:lpstr>
      <vt:lpstr>Vcc_off</vt:lpstr>
      <vt:lpstr>Vcc_on</vt:lpstr>
      <vt:lpstr>VDSS_BR</vt:lpstr>
      <vt:lpstr>VF</vt:lpstr>
      <vt:lpstr>VFB_OVP</vt:lpstr>
      <vt:lpstr>Vo_max</vt:lpstr>
      <vt:lpstr>Vo_min</vt:lpstr>
      <vt:lpstr>Vo_ovp</vt:lpstr>
      <vt:lpstr>Vo_pkpk</vt:lpstr>
      <vt:lpstr>Vpkpk</vt:lpstr>
      <vt:lpstr>VR</vt:lpstr>
      <vt:lpstr>VREF</vt:lpstr>
      <vt:lpstr>Vring</vt:lpstr>
      <vt:lpstr>VRRM</vt:lpstr>
      <vt:lpstr>Vspike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张顺法</dc:creator>
  <cp:lastModifiedBy>金俊豪 Robin</cp:lastModifiedBy>
  <cp:lastPrinted>2017-08-08T01:48:57Z</cp:lastPrinted>
  <dcterms:created xsi:type="dcterms:W3CDTF">2017-05-19T06:08:18Z</dcterms:created>
  <dcterms:modified xsi:type="dcterms:W3CDTF">2020-03-06T03:01:19Z</dcterms:modified>
</cp:coreProperties>
</file>